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drawings/drawing2.xml" ContentType="application/vnd.openxmlformats-officedocument.drawing+xml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-my.sharepoint.com/personal/teresa_carboncino_regione_campania_it/Documents/Desktop/ANNO 2025 RISORSE FINANZIARIE/8 - BILANCIO CONSOLIDATO/SCHEMI BILANCIO/schemi def 11.09.25/"/>
    </mc:Choice>
  </mc:AlternateContent>
  <xr:revisionPtr revIDLastSave="41" documentId="8_{CE9921B7-AF7B-433F-B87E-263550DD91AC}" xr6:coauthVersionLast="47" xr6:coauthVersionMax="47" xr10:uidLastSave="{BB053666-19D6-4755-800C-7F53DAB16D18}"/>
  <bookViews>
    <workbookView xWindow="-120" yWindow="-120" windowWidth="29040" windowHeight="15840" xr2:uid="{5E596D58-4CE4-432F-8023-A1343E263A9D}"/>
  </bookViews>
  <sheets>
    <sheet name="REPORT_CE" sheetId="1" r:id="rId1"/>
    <sheet name="REPORT_SP" sheetId="3" r:id="rId2"/>
  </sheets>
  <definedNames>
    <definedName name="__FPMExcelClient_Connection" localSheetId="0">"_FPM_BPCNW10_[https://sapbpcprd.regione.campania.it/sap/bpc/]_[REGC_CONSO]_[CONSOLIDATION_REGC]_[false]_[false]"</definedName>
    <definedName name="__FPMExcelClient_Connection" localSheetId="1">"_FPM_BPCNW10_[https://sapbpcprd.regione.campania.it/sap/bpc/]_[REGC_CONSO]_[CONSOLIDATION_REGC]_[false]_[false]"</definedName>
    <definedName name="_epmOfflineCondition_" localSheetId="0" hidden="1">1</definedName>
    <definedName name="_epmOfflineCondition_" localSheetId="1" hidden="1">1</definedName>
    <definedName name="EPMWorkbookOptions_1" hidden="1">"2z0AAB+LCAAAAAAABADtW2tvokoY/r7J/gfjd+XipbaxbjhIWxMVA9g9e5oNQR3rZBHYgdb235/hpiCUglJLiUkbdd533sszzzszDND98bJWK88AmVDXrqtUnaxWgDbXF1B7vK4+Wcsa1a7+6H3/1v2poz8zXf/DGxZWNSu4n2ZevZiL6+rKsowrgthsNvVNo66jR4ImSYr4dzQU5yuwVqpbZfi+cg1qpqVoc1DFXiuVLqtrGpjbPiWdfUII"</definedName>
    <definedName name="EPMWorkbookOptions_2" hidden="1">"aNY9BBtHGBL3FUvxWnH7WFkD1+3WpQXWxhOCjs+pCdAEgSXA9uagjtOo9uSbyUj+Z8KOf1Kk/OB1MhWjZijmbGPUEXjEbkB9rqwNRYNKHVpXzQZN2TrEzJgTv+UHgbtlZZYfizz+4XwOB31GGvBj2RbhxqWimmD72SXsQHdhM4ahwrkSgDh1+L6NsJVAs4dKLxrWXhQusBGsU4iwcATWM4CmGvz7BByrD8y0P5AkgRkMf9cfJozAjaU7Cn9l"</definedName>
    <definedName name="EPMWorkbookOptions_3" hidden="1">"ZYmXmCGLQYh0ipi9gwApaL56DSj5trpEnDRiog/XQLN5HlDaxdYl4uR7mRP5ocIyEnfLC78wEPiPYaUpMzwUiQqRLlvf58lz5ccSvxt8Gn8Vblnu2IGnjxh4J6ST4zAVcOCsN+bcVPjwAfccnjrR/kDg/sOzCxeueFzv8k70iWW/DeLUwODAB9KvMCrOwvCJYLgxnRqJm+FUFPkwEty4/5lAuCGdGojBWOIElo9Wii/4RES8EE4NyYhjxKnA"</definedName>
    <definedName name="EPMWorkbookOptions_4" hidden="1">"ie48+Us6mBVp50nf4XGJJkgCgju4WABt68dMwGqrdA9NOIMqtF4/YlvjYGcH1bPQE7Dp4vxISPv9wHJJI8t+pbhJpN1pFDeDDLuIwiaRackvbBbp1+rCppB+lS1sChmWxcLmkGXJyz+JkHLiihhMdnfkEVk1xZW+c8rqqo68WGMESV2d7GN6xm0EbAVW1yzwYt0ozzqCFo7LOddxO0dke/3v4ONKxf+WCFQwt8DC38HAnZ1EnRTx3EBkWoGE"</definedName>
    <definedName name="EPMWorkbookOptions_5" hidden="1">"4uV7hrZZvw14Wq2cNihBM+4g1qh2i6QaHSpgIG54nb48WgDUI7uE+yXWummoyusE6QZAmKxUq91agtmy1movmrUmvbysdVoA1EgF0M3F7KJ5MWvYnsO9YgwPFXM7du4eNg6kd/bInsrHnK15xuO2zy8mvNKgel21CVSN2U2/PcTp+iZdNbjyNPgFKPBhjM22F43jK0k2OySZnq5U+eh66KGnZ/BM0aR0slxpxPCz0Wi1ms1men7SJeTn4QfV"</definedName>
    <definedName name="EPMWorkbookOptions_6" hidden="1">"ns0zRZPSyXgpGcPS9gVFdjoX6VnaKCFLD7mN4Fk78zMpnaynBPHLfLvdaGRY55vlY2he9388B2fSJqWT6VAolwupVvkYe8yNOc9oIVmaJx5MfyBOhTMkAUjEESOzzGhyxiQ8y3vtXxyV4kzxWQ7Nc5ni2+Wb4o944sCzWUiS5gnHzeXlV4ejODWb6S5RLkV7Ub6izePpGM94IemaKy4DmWPuvzoixSlgkeUnRxwEZC7fTvnK14EwTNJbgZ9O"</definedName>
    <definedName name="EPMWorkbookOptions_7" hidden="1">"ZFfwxamaIyrOiwOlAKU49SsNRqcs38vyla+NYJinNEnTdYr+6iTNFRCq7txsP2MSwIQ8YxJTOGdM9jAh2+XApDiLXrbn+nJZ+KgSPlh10CsInrWyMzSFUiiaN5VCOvrawIHtngIN5dkl4t5pDbX6trHr6DvBwcboe8RdASwRMFe8xhtA8x+9DDc6eqwKFGQb5TVReQa+5n6zo+u/MI0zsxzMfe2oIKy/WXipdwfmvYKgMlPBCKDHnYVI+/dv"</definedName>
    <definedName name="EPMWorkbookOptions_8" hidden="1">"O7PeC9q9/wEPAz4m2z0AAA=="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8" i="1" l="1"/>
  <c r="D180" i="3"/>
  <c r="E180" i="3"/>
  <c r="D181" i="3"/>
  <c r="E181" i="3"/>
  <c r="D182" i="3"/>
  <c r="E182" i="3"/>
  <c r="D183" i="3"/>
  <c r="E183" i="3"/>
  <c r="D184" i="3"/>
  <c r="E184" i="3"/>
  <c r="D185" i="3"/>
  <c r="E185" i="3"/>
  <c r="D186" i="3"/>
  <c r="E186" i="3"/>
  <c r="D187" i="3"/>
  <c r="E187" i="3"/>
  <c r="J178" i="3"/>
  <c r="K178" i="3"/>
  <c r="D178" i="3"/>
  <c r="E178" i="3"/>
  <c r="D171" i="3"/>
  <c r="E171" i="3"/>
  <c r="D172" i="3"/>
  <c r="E172" i="3"/>
  <c r="D173" i="3"/>
  <c r="E173" i="3"/>
  <c r="D174" i="3"/>
  <c r="E174" i="3"/>
  <c r="D175" i="3"/>
  <c r="E175" i="3"/>
  <c r="D176" i="3"/>
  <c r="E176" i="3"/>
  <c r="D150" i="3"/>
  <c r="E150" i="3"/>
  <c r="D151" i="3"/>
  <c r="E151" i="3"/>
  <c r="D152" i="3"/>
  <c r="E152" i="3"/>
  <c r="D153" i="3"/>
  <c r="E153" i="3"/>
  <c r="D154" i="3"/>
  <c r="E154" i="3"/>
  <c r="D155" i="3"/>
  <c r="E155" i="3"/>
  <c r="D156" i="3"/>
  <c r="E156" i="3"/>
  <c r="D157" i="3"/>
  <c r="E157" i="3"/>
  <c r="D158" i="3"/>
  <c r="E158" i="3"/>
  <c r="D159" i="3"/>
  <c r="E159" i="3"/>
  <c r="D160" i="3"/>
  <c r="E160" i="3"/>
  <c r="D161" i="3"/>
  <c r="E161" i="3"/>
  <c r="D162" i="3"/>
  <c r="E162" i="3"/>
  <c r="D163" i="3"/>
  <c r="E163" i="3"/>
  <c r="D164" i="3"/>
  <c r="E164" i="3"/>
  <c r="D165" i="3"/>
  <c r="E165" i="3"/>
  <c r="D166" i="3"/>
  <c r="E166" i="3"/>
  <c r="D167" i="3"/>
  <c r="E167" i="3"/>
  <c r="D168" i="3"/>
  <c r="E168" i="3"/>
  <c r="D146" i="3"/>
  <c r="E146" i="3"/>
  <c r="D147" i="3"/>
  <c r="E147" i="3"/>
  <c r="D140" i="3"/>
  <c r="E140" i="3"/>
  <c r="D141" i="3"/>
  <c r="E141" i="3"/>
  <c r="D142" i="3"/>
  <c r="E142" i="3"/>
  <c r="D143" i="3"/>
  <c r="E143" i="3"/>
  <c r="D137" i="3"/>
  <c r="E137" i="3"/>
  <c r="D132" i="3"/>
  <c r="E132" i="3"/>
  <c r="D133" i="3"/>
  <c r="E133" i="3"/>
  <c r="D134" i="3"/>
  <c r="E134" i="3"/>
  <c r="D135" i="3"/>
  <c r="E135" i="3"/>
  <c r="F130" i="3"/>
  <c r="F136" i="3" s="1"/>
  <c r="G130" i="3"/>
  <c r="G136" i="3" s="1"/>
  <c r="F131" i="3"/>
  <c r="F123" i="3" s="1"/>
  <c r="G131" i="3"/>
  <c r="G123" i="3" s="1"/>
  <c r="D124" i="3"/>
  <c r="E124" i="3"/>
  <c r="D125" i="3"/>
  <c r="E125" i="3"/>
  <c r="D126" i="3"/>
  <c r="E126" i="3"/>
  <c r="D115" i="3"/>
  <c r="E115" i="3"/>
  <c r="D116" i="3"/>
  <c r="E116" i="3"/>
  <c r="D117" i="3"/>
  <c r="E117" i="3"/>
  <c r="D118" i="3"/>
  <c r="E118" i="3"/>
  <c r="D119" i="3"/>
  <c r="E119" i="3"/>
  <c r="D120" i="3"/>
  <c r="E120" i="3"/>
  <c r="D121" i="3"/>
  <c r="E121" i="3"/>
  <c r="D122" i="3"/>
  <c r="E122" i="3"/>
  <c r="F114" i="3"/>
  <c r="F127" i="3" s="1"/>
  <c r="G114" i="3"/>
  <c r="D110" i="3"/>
  <c r="E110" i="3"/>
  <c r="D106" i="3"/>
  <c r="E106" i="3"/>
  <c r="D107" i="3"/>
  <c r="E107" i="3"/>
  <c r="D108" i="3"/>
  <c r="E108" i="3"/>
  <c r="D96" i="3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91" i="3"/>
  <c r="E91" i="3"/>
  <c r="D92" i="3"/>
  <c r="E92" i="3"/>
  <c r="D93" i="3"/>
  <c r="E9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F72" i="3"/>
  <c r="G72" i="3"/>
  <c r="D71" i="3"/>
  <c r="E71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21" i="3"/>
  <c r="E21" i="3"/>
  <c r="F19" i="3"/>
  <c r="G19" i="3"/>
  <c r="B5" i="3"/>
  <c r="A9" i="3"/>
  <c r="B9" i="3"/>
  <c r="A2" i="3"/>
  <c r="A3" i="3"/>
  <c r="A4" i="3"/>
  <c r="A5" i="3"/>
  <c r="A6" i="3"/>
  <c r="A7" i="3"/>
  <c r="A8" i="3"/>
  <c r="B2" i="3"/>
  <c r="G102" i="1"/>
  <c r="F98" i="1"/>
  <c r="F102" i="1" s="1"/>
  <c r="G98" i="1"/>
  <c r="E96" i="1"/>
  <c r="E97" i="1"/>
  <c r="F95" i="1"/>
  <c r="F100" i="1" s="1"/>
  <c r="G95" i="1"/>
  <c r="G100" i="1" s="1"/>
  <c r="E93" i="1"/>
  <c r="E94" i="1"/>
  <c r="E85" i="1"/>
  <c r="E86" i="1"/>
  <c r="E87" i="1"/>
  <c r="E88" i="1"/>
  <c r="E89" i="1"/>
  <c r="E90" i="1"/>
  <c r="E91" i="1"/>
  <c r="E78" i="1"/>
  <c r="E79" i="1"/>
  <c r="E80" i="1"/>
  <c r="E81" i="1"/>
  <c r="E82" i="1"/>
  <c r="E83" i="1"/>
  <c r="E72" i="1"/>
  <c r="E73" i="1"/>
  <c r="E74" i="1"/>
  <c r="E59" i="1"/>
  <c r="E60" i="1"/>
  <c r="E61" i="1"/>
  <c r="E62" i="1"/>
  <c r="E63" i="1"/>
  <c r="E64" i="1"/>
  <c r="E65" i="1"/>
  <c r="E66" i="1"/>
  <c r="E67" i="1"/>
  <c r="E68" i="1"/>
  <c r="E69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F19" i="1"/>
  <c r="G19" i="1"/>
  <c r="C5" i="1"/>
  <c r="C9" i="1"/>
  <c r="A1" i="1"/>
  <c r="A2" i="1"/>
  <c r="A3" i="1"/>
  <c r="A4" i="1"/>
  <c r="A5" i="1"/>
  <c r="A6" i="1"/>
  <c r="A7" i="1"/>
  <c r="A8" i="1"/>
  <c r="A9" i="1"/>
  <c r="C2" i="1"/>
  <c r="G127" i="3" l="1"/>
  <c r="C6" i="1"/>
  <c r="B6" i="3"/>
  <c r="G101" i="1"/>
  <c r="F101" i="1"/>
</calcChain>
</file>

<file path=xl/sharedStrings.xml><?xml version="1.0" encoding="utf-8"?>
<sst xmlns="http://schemas.openxmlformats.org/spreadsheetml/2006/main" count="208" uniqueCount="131">
  <si>
    <t>ENTITY</t>
  </si>
  <si>
    <t>TIME</t>
  </si>
  <si>
    <t>A) COMPONENTI POSITIVI DELLA GESTIONE</t>
  </si>
  <si>
    <t>B) COMPONENTI NEGATIVI DELLA GESTIONE</t>
  </si>
  <si>
    <t>C) PROVENTI ED ONERI FINANZIARI</t>
  </si>
  <si>
    <t>D) RETTIFICHE DI VALORE ATTIVITA' FINANZIARIE</t>
  </si>
  <si>
    <t>E) PROVENTI  ED ONERI STRAORDINARI</t>
  </si>
  <si>
    <t>24 Proventi Straordinari</t>
  </si>
  <si>
    <t>25 Oneri Straordinari</t>
  </si>
  <si>
    <t>29 RISULTATO DELL'ESERCIZIO DI GRUPPO</t>
  </si>
  <si>
    <t>CONTO ECONOMICO CONSOLIDATO</t>
  </si>
  <si>
    <t>Riferimento art. 2424 cc</t>
  </si>
  <si>
    <t>Riferimento DM 26/4/95</t>
  </si>
  <si>
    <t>A5</t>
  </si>
  <si>
    <t>E20c</t>
  </si>
  <si>
    <t>A1</t>
  </si>
  <si>
    <t>A1a</t>
  </si>
  <si>
    <t>A2</t>
  </si>
  <si>
    <t>A3</t>
  </si>
  <si>
    <t>A4</t>
  </si>
  <si>
    <t>A5 a e b</t>
  </si>
  <si>
    <t>B6</t>
  </si>
  <si>
    <t>B7</t>
  </si>
  <si>
    <t>B8</t>
  </si>
  <si>
    <t>B9</t>
  </si>
  <si>
    <t>B10</t>
  </si>
  <si>
    <t xml:space="preserve">B10a </t>
  </si>
  <si>
    <t>B10b</t>
  </si>
  <si>
    <t xml:space="preserve">B10c </t>
  </si>
  <si>
    <t>B10d</t>
  </si>
  <si>
    <t>B11</t>
  </si>
  <si>
    <t>B12</t>
  </si>
  <si>
    <t>B13</t>
  </si>
  <si>
    <t>B14</t>
  </si>
  <si>
    <t>C15</t>
  </si>
  <si>
    <t>C16</t>
  </si>
  <si>
    <t>C17</t>
  </si>
  <si>
    <t>D18</t>
  </si>
  <si>
    <t>D19</t>
  </si>
  <si>
    <t>E20</t>
  </si>
  <si>
    <t>E20b</t>
  </si>
  <si>
    <t>E21</t>
  </si>
  <si>
    <t>E21b</t>
  </si>
  <si>
    <t>E21c</t>
  </si>
  <si>
    <t>E21d</t>
  </si>
  <si>
    <t>E22</t>
  </si>
  <si>
    <t>E23</t>
  </si>
  <si>
    <t>SCOPE</t>
  </si>
  <si>
    <t>STATO PATRIMONIALE CONSOLIDATO</t>
  </si>
  <si>
    <t>A) CREDITI vs.LO STATO ED ALTRE AMM. PUBBLICHE PER LA PARTECIP. AL FONDO DI DOTAZIONE</t>
  </si>
  <si>
    <t>B) IMMOBILIZZAZIONI</t>
  </si>
  <si>
    <t>Immobilizzazioni Immateriali</t>
  </si>
  <si>
    <t>Immobilizzazioni Materiali</t>
  </si>
  <si>
    <t>Immobilizzazioni Finanziarie</t>
  </si>
  <si>
    <t>C) ATTIVO CIRCOLANTE</t>
  </si>
  <si>
    <t>II Crediti</t>
  </si>
  <si>
    <t>III Attività finanziarie che non costituiscono immobilizzi</t>
  </si>
  <si>
    <t>IV Disponibilità liquide</t>
  </si>
  <si>
    <t>D) RATEI E RISCONTI</t>
  </si>
  <si>
    <t>A) PATRIMONIO NETTO</t>
  </si>
  <si>
    <t>Patrimonio netto di gruppo</t>
  </si>
  <si>
    <t>I Fondo di dotazione</t>
  </si>
  <si>
    <t>Totale Patrimonio netto di gruppo</t>
  </si>
  <si>
    <t>Patrimonio netto di pertinenza di terzi</t>
  </si>
  <si>
    <t>Fondo dotazione e riserve di pertinenza terzi</t>
  </si>
  <si>
    <t>Risultato economico dell'esercizio di pertinenza terzi</t>
  </si>
  <si>
    <t>Totale Patrimonio netto di pertinenza di terzi</t>
  </si>
  <si>
    <t>B) FONDI PER RISCHI ED ONERI</t>
  </si>
  <si>
    <t>C) TRATTAMENTO DI FINE RAPPORTO</t>
  </si>
  <si>
    <t>D) DEBITI</t>
  </si>
  <si>
    <t>E) RATEI E RISCONTI E CONTRIBUTI AGLI INVESTIMENTI</t>
  </si>
  <si>
    <t>A</t>
  </si>
  <si>
    <t>BI</t>
  </si>
  <si>
    <t>BI1</t>
  </si>
  <si>
    <t>BI2</t>
  </si>
  <si>
    <t>BI3</t>
  </si>
  <si>
    <t>BI4</t>
  </si>
  <si>
    <t>BI5</t>
  </si>
  <si>
    <t>BI6</t>
  </si>
  <si>
    <t>BI7</t>
  </si>
  <si>
    <t>BII1</t>
  </si>
  <si>
    <t>BII2</t>
  </si>
  <si>
    <t>BII3</t>
  </si>
  <si>
    <t>BII5</t>
  </si>
  <si>
    <t>BIII1</t>
  </si>
  <si>
    <t>BIII1a</t>
  </si>
  <si>
    <t>BIII1b</t>
  </si>
  <si>
    <t>BIII2</t>
  </si>
  <si>
    <t>BIII2a</t>
  </si>
  <si>
    <t>BIII2b</t>
  </si>
  <si>
    <t>BIII2c BIII2d</t>
  </si>
  <si>
    <t>BIII2d</t>
  </si>
  <si>
    <t>BIII3</t>
  </si>
  <si>
    <t>CI</t>
  </si>
  <si>
    <t>Totale Rimanenze</t>
  </si>
  <si>
    <t>CII2</t>
  </si>
  <si>
    <t>CII3</t>
  </si>
  <si>
    <t>CII1</t>
  </si>
  <si>
    <t>CII5</t>
  </si>
  <si>
    <t>CIII1,2,3 CIII4.5</t>
  </si>
  <si>
    <t>CIII1,2,3</t>
  </si>
  <si>
    <t>CIII6</t>
  </si>
  <si>
    <t>CIII5</t>
  </si>
  <si>
    <t>CIV1a</t>
  </si>
  <si>
    <t>CIV1</t>
  </si>
  <si>
    <t>CIV1b,c</t>
  </si>
  <si>
    <t>CIV2,3</t>
  </si>
  <si>
    <t>D</t>
  </si>
  <si>
    <t>AI</t>
  </si>
  <si>
    <t>AIV,AV,AVI,AVII,AVII</t>
  </si>
  <si>
    <t>AII,AIII</t>
  </si>
  <si>
    <t>III Risultato economico dell'esercizio</t>
  </si>
  <si>
    <t>AIX</t>
  </si>
  <si>
    <t>B3</t>
  </si>
  <si>
    <t>B1</t>
  </si>
  <si>
    <t>B2</t>
  </si>
  <si>
    <t>C</t>
  </si>
  <si>
    <t>D1 e D2</t>
  </si>
  <si>
    <t>D1</t>
  </si>
  <si>
    <t>D4</t>
  </si>
  <si>
    <t>D3 e D4</t>
  </si>
  <si>
    <t>D5</t>
  </si>
  <si>
    <t>D7</t>
  </si>
  <si>
    <t>D6</t>
  </si>
  <si>
    <t>D9</t>
  </si>
  <si>
    <t>D8</t>
  </si>
  <si>
    <t>D10</t>
  </si>
  <si>
    <t>D12,D13,D14</t>
  </si>
  <si>
    <t>D11,D12,D13</t>
  </si>
  <si>
    <t>E</t>
  </si>
  <si>
    <t>30 RISULTATO DELL'ESERCIZIO DI PERTINENZA DI TERZI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</si>
</sst>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.00\ _€_-;\-* #,##0.0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2"/>
      <color theme="4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i/>
      <sz val="11"/>
      <name val="Calibri"/>
      <family val="2"/>
      <scheme val="minor"/>
    </font>
    <font>
      <sz val="11"/>
      <color theme="0"/>
      <name val="Arial"/>
      <family val="2"/>
    </font>
    <font>
      <b/>
      <u/>
      <sz val="11"/>
      <name val="Calibri"/>
      <family val="2"/>
      <scheme val="minor"/>
    </font>
    <font>
      <b/>
      <i/>
      <sz val="11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theme="3"/>
      </bottom>
      <diagonal/>
    </border>
    <border>
      <left style="thin">
        <color indexed="64"/>
      </left>
      <right/>
      <top style="hair">
        <color indexed="64"/>
      </top>
      <bottom style="hair">
        <color theme="3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theme="3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3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</cellStyleXfs>
  <cellXfs count="105">
    <xf numFmtId="0" fontId="0" fillId="0" borderId="0" xfId="0"/>
    <xf numFmtId="164" fontId="0" fillId="0" borderId="0" xfId="1" applyFont="1"/>
    <xf numFmtId="165" fontId="9" fillId="0" borderId="9" xfId="0" applyNumberFormat="1" applyFont="1" applyBorder="1" applyAlignment="1" applyProtection="1">
      <alignment horizontal="left" vertical="center"/>
      <protection locked="0"/>
    </xf>
    <xf numFmtId="165" fontId="2" fillId="0" borderId="7" xfId="0" applyNumberFormat="1" applyFont="1" applyBorder="1" applyAlignment="1" applyProtection="1">
      <alignment horizontal="left" vertical="center"/>
      <protection locked="0"/>
    </xf>
    <xf numFmtId="165" fontId="9" fillId="0" borderId="1" xfId="0" applyNumberFormat="1" applyFont="1" applyBorder="1" applyAlignment="1" applyProtection="1">
      <alignment horizontal="right" vertical="center"/>
      <protection locked="0"/>
    </xf>
    <xf numFmtId="165" fontId="9" fillId="0" borderId="7" xfId="0" applyNumberFormat="1" applyFont="1" applyBorder="1" applyAlignment="1" applyProtection="1">
      <alignment horizontal="right" vertical="center"/>
      <protection locked="0"/>
    </xf>
    <xf numFmtId="165" fontId="7" fillId="0" borderId="7" xfId="0" applyNumberFormat="1" applyFont="1" applyBorder="1" applyAlignment="1" applyProtection="1">
      <alignment horizontal="right" vertical="center"/>
      <protection locked="0"/>
    </xf>
    <xf numFmtId="165" fontId="2" fillId="3" borderId="1" xfId="0" applyNumberFormat="1" applyFont="1" applyFill="1" applyBorder="1" applyAlignment="1" applyProtection="1">
      <alignment horizontal="right" vertical="center"/>
      <protection locked="0"/>
    </xf>
    <xf numFmtId="165" fontId="9" fillId="0" borderId="9" xfId="0" applyNumberFormat="1" applyFont="1" applyBorder="1" applyAlignment="1" applyProtection="1">
      <alignment horizontal="right" vertical="center"/>
      <protection locked="0"/>
    </xf>
    <xf numFmtId="165" fontId="9" fillId="0" borderId="13" xfId="0" applyNumberFormat="1" applyFont="1" applyBorder="1" applyAlignment="1" applyProtection="1">
      <alignment horizontal="right" vertical="center"/>
      <protection locked="0"/>
    </xf>
    <xf numFmtId="165" fontId="9" fillId="0" borderId="7" xfId="0" applyNumberFormat="1" applyFont="1" applyBorder="1" applyAlignment="1" applyProtection="1">
      <alignment horizontal="left" vertical="center"/>
      <protection locked="0"/>
    </xf>
    <xf numFmtId="165" fontId="12" fillId="0" borderId="7" xfId="0" applyNumberFormat="1" applyFont="1" applyBorder="1" applyAlignment="1" applyProtection="1">
      <alignment horizontal="right" vertical="center"/>
      <protection locked="0"/>
    </xf>
    <xf numFmtId="165" fontId="7" fillId="0" borderId="7" xfId="0" applyNumberFormat="1" applyFont="1" applyBorder="1" applyAlignment="1" applyProtection="1">
      <alignment horizontal="center" vertical="center"/>
      <protection locked="0"/>
    </xf>
    <xf numFmtId="165" fontId="9" fillId="0" borderId="15" xfId="0" applyNumberFormat="1" applyFont="1" applyBorder="1" applyAlignment="1" applyProtection="1">
      <alignment horizontal="left" vertical="center"/>
      <protection locked="0"/>
    </xf>
    <xf numFmtId="165" fontId="9" fillId="0" borderId="15" xfId="0" applyNumberFormat="1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left" vertical="center"/>
      <protection locked="0"/>
    </xf>
    <xf numFmtId="165" fontId="9" fillId="0" borderId="1" xfId="0" applyNumberFormat="1" applyFont="1" applyBorder="1" applyAlignment="1" applyProtection="1">
      <alignment horizontal="center" vertical="center"/>
      <protection locked="0"/>
    </xf>
    <xf numFmtId="165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3" fillId="3" borderId="10" xfId="0" applyFont="1" applyFill="1" applyBorder="1" applyAlignment="1" applyProtection="1">
      <alignment horizontal="right" vertical="center"/>
      <protection locked="0"/>
    </xf>
    <xf numFmtId="0" fontId="13" fillId="3" borderId="10" xfId="0" applyFont="1" applyFill="1" applyBorder="1" applyAlignment="1" applyProtection="1">
      <alignment horizontal="center" vertical="center"/>
      <protection locked="0"/>
    </xf>
    <xf numFmtId="165" fontId="7" fillId="0" borderId="9" xfId="0" applyNumberFormat="1" applyFont="1" applyBorder="1" applyAlignment="1" applyProtection="1">
      <alignment horizontal="left" vertical="center"/>
      <protection locked="0"/>
    </xf>
    <xf numFmtId="165" fontId="4" fillId="0" borderId="7" xfId="0" applyNumberFormat="1" applyFont="1" applyBorder="1" applyAlignment="1" applyProtection="1">
      <alignment horizontal="right" vertical="center"/>
      <protection locked="0"/>
    </xf>
    <xf numFmtId="164" fontId="4" fillId="0" borderId="5" xfId="1" applyFont="1" applyBorder="1" applyAlignment="1" applyProtection="1">
      <alignment horizontal="center"/>
      <protection locked="0"/>
    </xf>
    <xf numFmtId="165" fontId="4" fillId="3" borderId="5" xfId="0" applyNumberFormat="1" applyFont="1" applyFill="1" applyBorder="1" applyAlignment="1" applyProtection="1">
      <alignment horizontal="center" vertical="center"/>
      <protection locked="0"/>
    </xf>
    <xf numFmtId="165" fontId="2" fillId="3" borderId="5" xfId="0" applyNumberFormat="1" applyFont="1" applyFill="1" applyBorder="1" applyAlignment="1" applyProtection="1">
      <alignment horizontal="center" vertical="center"/>
      <protection locked="0"/>
    </xf>
    <xf numFmtId="165" fontId="9" fillId="0" borderId="5" xfId="0" applyNumberFormat="1" applyFont="1" applyBorder="1" applyAlignment="1" applyProtection="1">
      <alignment horizontal="center" vertical="center"/>
      <protection locked="0"/>
    </xf>
    <xf numFmtId="165" fontId="9" fillId="0" borderId="5" xfId="0" applyNumberFormat="1" applyFont="1" applyBorder="1" applyAlignment="1" applyProtection="1">
      <alignment horizontal="right" vertical="center"/>
      <protection locked="0"/>
    </xf>
    <xf numFmtId="165" fontId="9" fillId="0" borderId="4" xfId="0" applyNumberFormat="1" applyFont="1" applyBorder="1" applyAlignment="1" applyProtection="1">
      <alignment horizontal="right" vertical="center"/>
      <protection locked="0"/>
    </xf>
    <xf numFmtId="165" fontId="9" fillId="0" borderId="4" xfId="0" applyNumberFormat="1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165" fontId="9" fillId="4" borderId="9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/>
    <xf numFmtId="164" fontId="0" fillId="0" borderId="0" xfId="1" applyFont="1" applyProtection="1"/>
    <xf numFmtId="0" fontId="6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165" fontId="9" fillId="0" borderId="1" xfId="0" applyNumberFormat="1" applyFont="1" applyBorder="1" applyAlignment="1">
      <alignment horizontal="right" vertical="center"/>
    </xf>
    <xf numFmtId="0" fontId="0" fillId="0" borderId="1" xfId="0" applyBorder="1"/>
    <xf numFmtId="0" fontId="9" fillId="0" borderId="8" xfId="0" applyFont="1" applyBorder="1" applyAlignment="1">
      <alignment horizontal="left" vertical="center"/>
    </xf>
    <xf numFmtId="0" fontId="0" fillId="0" borderId="10" xfId="0" applyBorder="1"/>
    <xf numFmtId="0" fontId="0" fillId="0" borderId="7" xfId="0" applyBorder="1"/>
    <xf numFmtId="0" fontId="12" fillId="0" borderId="12" xfId="0" applyFont="1" applyBorder="1" applyAlignment="1">
      <alignment horizontal="left" vertical="center"/>
    </xf>
    <xf numFmtId="165" fontId="7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horizontal="center"/>
    </xf>
    <xf numFmtId="0" fontId="9" fillId="3" borderId="1" xfId="0" applyFont="1" applyFill="1" applyBorder="1" applyAlignment="1">
      <alignment horizontal="right" vertical="center"/>
    </xf>
    <xf numFmtId="165" fontId="2" fillId="3" borderId="2" xfId="0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/>
    <xf numFmtId="0" fontId="3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9" fillId="3" borderId="4" xfId="0" applyFont="1" applyFill="1" applyBorder="1" applyAlignment="1">
      <alignment horizontal="right" vertical="center"/>
    </xf>
    <xf numFmtId="0" fontId="0" fillId="0" borderId="4" xfId="0" applyBorder="1"/>
    <xf numFmtId="0" fontId="7" fillId="0" borderId="8" xfId="0" applyFont="1" applyBorder="1" applyAlignment="1">
      <alignment horizontal="left" vertical="center"/>
    </xf>
    <xf numFmtId="0" fontId="9" fillId="3" borderId="13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9" fillId="3" borderId="8" xfId="0" applyFont="1" applyFill="1" applyBorder="1" applyAlignment="1">
      <alignment horizontal="left" vertical="center"/>
    </xf>
    <xf numFmtId="0" fontId="9" fillId="4" borderId="4" xfId="0" applyFont="1" applyFill="1" applyBorder="1" applyAlignment="1">
      <alignment horizontal="left" vertical="center"/>
    </xf>
    <xf numFmtId="0" fontId="3" fillId="0" borderId="9" xfId="0" applyFont="1" applyBorder="1" applyAlignment="1">
      <alignment horizontal="center"/>
    </xf>
    <xf numFmtId="0" fontId="9" fillId="3" borderId="4" xfId="0" applyFont="1" applyFill="1" applyBorder="1" applyAlignment="1">
      <alignment horizontal="left" vertical="center"/>
    </xf>
    <xf numFmtId="165" fontId="9" fillId="0" borderId="9" xfId="0" applyNumberFormat="1" applyFont="1" applyBorder="1" applyAlignment="1">
      <alignment horizontal="left" vertical="center"/>
    </xf>
    <xf numFmtId="164" fontId="16" fillId="0" borderId="0" xfId="1" applyFont="1" applyProtection="1"/>
    <xf numFmtId="0" fontId="9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left" vertical="center"/>
    </xf>
    <xf numFmtId="0" fontId="13" fillId="3" borderId="10" xfId="0" applyFont="1" applyFill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165" fontId="7" fillId="0" borderId="7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vertical="center"/>
    </xf>
    <xf numFmtId="0" fontId="14" fillId="0" borderId="8" xfId="0" applyFont="1" applyBorder="1" applyAlignment="1">
      <alignment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165" fontId="2" fillId="0" borderId="7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14" xfId="0" applyFont="1" applyBorder="1" applyAlignment="1">
      <alignment horizontal="left" vertical="center"/>
    </xf>
    <xf numFmtId="0" fontId="7" fillId="0" borderId="5" xfId="0" applyFont="1" applyBorder="1" applyAlignment="1">
      <alignment vertical="center"/>
    </xf>
    <xf numFmtId="0" fontId="9" fillId="3" borderId="4" xfId="0" applyFont="1" applyFill="1" applyBorder="1" applyAlignment="1">
      <alignment vertical="center"/>
    </xf>
    <xf numFmtId="0" fontId="9" fillId="3" borderId="5" xfId="0" applyFont="1" applyFill="1" applyBorder="1" applyAlignment="1">
      <alignment horizontal="right" vertical="center"/>
    </xf>
    <xf numFmtId="165" fontId="9" fillId="0" borderId="9" xfId="0" applyNumberFormat="1" applyFont="1" applyBorder="1" applyAlignment="1">
      <alignment horizontal="center" vertical="center"/>
    </xf>
    <xf numFmtId="0" fontId="12" fillId="0" borderId="1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9" fillId="0" borderId="2" xfId="0" applyFont="1" applyBorder="1" applyAlignment="1">
      <alignment horizontal="right" vertical="center"/>
    </xf>
    <xf numFmtId="0" fontId="9" fillId="0" borderId="6" xfId="0" applyFont="1" applyBorder="1" applyAlignment="1">
      <alignment horizontal="left" vertical="center"/>
    </xf>
    <xf numFmtId="165" fontId="9" fillId="0" borderId="5" xfId="0" applyNumberFormat="1" applyFont="1" applyBorder="1" applyAlignment="1">
      <alignment horizontal="center" vertical="center"/>
    </xf>
    <xf numFmtId="165" fontId="9" fillId="0" borderId="4" xfId="0" applyNumberFormat="1" applyFont="1" applyBorder="1" applyAlignment="1">
      <alignment horizontal="center" vertical="center"/>
    </xf>
    <xf numFmtId="165" fontId="17" fillId="0" borderId="0" xfId="0" applyNumberFormat="1" applyFont="1"/>
    <xf numFmtId="0" fontId="12" fillId="0" borderId="16" xfId="0" applyFont="1" applyBorder="1" applyAlignment="1">
      <alignment horizontal="left" vertical="center"/>
    </xf>
    <xf numFmtId="164" fontId="0" fillId="3" borderId="0" xfId="1" applyFont="1" applyFill="1" applyBorder="1" applyProtection="1"/>
    <xf numFmtId="0" fontId="0" fillId="3" borderId="0" xfId="0" applyFill="1" applyAlignment="1">
      <alignment horizontal="center"/>
    </xf>
    <xf numFmtId="0" fontId="2" fillId="3" borderId="0" xfId="0" applyFont="1" applyFill="1" applyAlignment="1">
      <alignment horizontal="center"/>
    </xf>
    <xf numFmtId="14" fontId="10" fillId="0" borderId="2" xfId="0" applyNumberFormat="1" applyFont="1" applyBorder="1" applyAlignment="1">
      <alignment horizontal="center" vertical="center"/>
    </xf>
    <xf numFmtId="165" fontId="0" fillId="0" borderId="0" xfId="0" applyNumberFormat="1"/>
  </cellXfs>
  <cellStyles count="4">
    <cellStyle name="Migliaia" xfId="1" builtinId="3"/>
    <cellStyle name="Migliaia 2" xfId="2" xr:uid="{E3C37495-1C06-4487-9149-50D6B1DD9C78}"/>
    <cellStyle name="Normale" xfId="0" builtinId="0"/>
    <cellStyle name="Normale 2" xfId="3" xr:uid="{3C33F7AE-55BA-47F9-80F9-D1983075AFB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8.emf"/><Relationship Id="rId1" Type="http://schemas.openxmlformats.org/officeDocument/2006/relationships/image" Target="../media/image9.emf"/><Relationship Id="rId4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9525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9525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9525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9525</xdr:rowOff>
        </xdr:to>
        <xdr:sp macro="" textlink="">
          <xdr:nvSpPr>
            <xdr:cNvPr id="1028" name="AnalyzerDynReport000tb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8</xdr:row>
      <xdr:rowOff>0</xdr:rowOff>
    </xdr:from>
    <xdr:to>
      <xdr:col>4</xdr:col>
      <xdr:colOff>931332</xdr:colOff>
      <xdr:row>12</xdr:row>
      <xdr:rowOff>103448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594" y="190500"/>
          <a:ext cx="931332" cy="8654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0</xdr:rowOff>
        </xdr:to>
        <xdr:sp macro="" textlink="">
          <xdr:nvSpPr>
            <xdr:cNvPr id="3073" name="FPMExcelClientSheetOptionstb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0</xdr:rowOff>
        </xdr:to>
        <xdr:sp macro="" textlink="">
          <xdr:nvSpPr>
            <xdr:cNvPr id="3074" name="ConnectionDescriptorsInfotb1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0</xdr:rowOff>
        </xdr:to>
        <xdr:sp macro="" textlink="">
          <xdr:nvSpPr>
            <xdr:cNvPr id="3075" name="MultipleReportManagerInfotb1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304800</xdr:colOff>
          <xdr:row>0</xdr:row>
          <xdr:rowOff>0</xdr:rowOff>
        </xdr:to>
        <xdr:sp macro="" textlink="">
          <xdr:nvSpPr>
            <xdr:cNvPr id="3076" name="AnalyzerDynReport000tb1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8</xdr:row>
      <xdr:rowOff>0</xdr:rowOff>
    </xdr:from>
    <xdr:to>
      <xdr:col>4</xdr:col>
      <xdr:colOff>931332</xdr:colOff>
      <xdr:row>12</xdr:row>
      <xdr:rowOff>103448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190500"/>
          <a:ext cx="931332" cy="8654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emf"/><Relationship Id="rId13" Type="http://schemas.openxmlformats.org/officeDocument/2006/relationships/control" Target="../activeX/activeX4.xml"/><Relationship Id="rId3" Type="http://schemas.openxmlformats.org/officeDocument/2006/relationships/customProperty" Target="../customProperty2.bin"/><Relationship Id="rId7" Type="http://schemas.openxmlformats.org/officeDocument/2006/relationships/control" Target="../activeX/activeX1.xml"/><Relationship Id="rId12" Type="http://schemas.openxmlformats.org/officeDocument/2006/relationships/image" Target="../media/image3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vmlDrawing" Target="../drawings/vmlDrawing1.vml"/><Relationship Id="rId11" Type="http://schemas.openxmlformats.org/officeDocument/2006/relationships/control" Target="../activeX/activeX3.xml"/><Relationship Id="rId5" Type="http://schemas.openxmlformats.org/officeDocument/2006/relationships/drawing" Target="../drawings/drawing1.xml"/><Relationship Id="rId10" Type="http://schemas.openxmlformats.org/officeDocument/2006/relationships/image" Target="../media/image2.emf"/><Relationship Id="rId4" Type="http://schemas.openxmlformats.org/officeDocument/2006/relationships/customProperty" Target="../customProperty3.bin"/><Relationship Id="rId9" Type="http://schemas.openxmlformats.org/officeDocument/2006/relationships/control" Target="../activeX/activeX2.xml"/><Relationship Id="rId14" Type="http://schemas.openxmlformats.org/officeDocument/2006/relationships/image" Target="../media/image4.emf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13" Type="http://schemas.openxmlformats.org/officeDocument/2006/relationships/control" Target="../activeX/activeX8.xml"/><Relationship Id="rId3" Type="http://schemas.openxmlformats.org/officeDocument/2006/relationships/customProperty" Target="../customProperty5.bin"/><Relationship Id="rId7" Type="http://schemas.openxmlformats.org/officeDocument/2006/relationships/control" Target="../activeX/activeX5.xml"/><Relationship Id="rId12" Type="http://schemas.openxmlformats.org/officeDocument/2006/relationships/image" Target="../media/image8.emf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Relationship Id="rId6" Type="http://schemas.openxmlformats.org/officeDocument/2006/relationships/vmlDrawing" Target="../drawings/vmlDrawing2.vml"/><Relationship Id="rId11" Type="http://schemas.openxmlformats.org/officeDocument/2006/relationships/control" Target="../activeX/activeX7.xml"/><Relationship Id="rId5" Type="http://schemas.openxmlformats.org/officeDocument/2006/relationships/drawing" Target="../drawings/drawing2.xml"/><Relationship Id="rId10" Type="http://schemas.openxmlformats.org/officeDocument/2006/relationships/image" Target="../media/image7.emf"/><Relationship Id="rId4" Type="http://schemas.openxmlformats.org/officeDocument/2006/relationships/customProperty" Target="../customProperty6.bin"/><Relationship Id="rId9" Type="http://schemas.openxmlformats.org/officeDocument/2006/relationships/control" Target="../activeX/activeX6.xml"/><Relationship Id="rId14" Type="http://schemas.openxmlformats.org/officeDocument/2006/relationships/image" Target="../media/image9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4FE0F-24E8-4F44-9ED7-0842A9F04D3C}">
  <sheetPr codeName="Foglio1">
    <pageSetUpPr fitToPage="1"/>
  </sheetPr>
  <dimension ref="A1:J102"/>
  <sheetViews>
    <sheetView showGridLines="0" tabSelected="1" topLeftCell="D8" zoomScale="80" zoomScaleNormal="80" workbookViewId="0">
      <pane ySplit="12" topLeftCell="A59" activePane="bottomLeft" state="frozen"/>
      <selection activeCell="D8" sqref="D8"/>
      <selection pane="bottomLeft" activeCell="J98" sqref="J98"/>
    </sheetView>
  </sheetViews>
  <sheetFormatPr defaultRowHeight="15" outlineLevelRow="1" outlineLevelCol="1" x14ac:dyDescent="0.25"/>
  <cols>
    <col min="1" max="1" width="36.7109375" hidden="1" customWidth="1" outlineLevel="1"/>
    <col min="2" max="2" width="9.140625" hidden="1" customWidth="1" outlineLevel="1"/>
    <col min="3" max="3" width="12.28515625" hidden="1" customWidth="1" outlineLevel="1"/>
    <col min="4" max="4" width="2.7109375" customWidth="1" collapsed="1"/>
    <col min="5" max="5" width="90.7109375" style="1" customWidth="1"/>
    <col min="6" max="7" width="20.7109375" style="1" customWidth="1"/>
    <col min="8" max="9" width="20.7109375" customWidth="1"/>
    <col min="10" max="10" width="30.7109375" customWidth="1"/>
  </cols>
  <sheetData>
    <row r="1" spans="1:7" hidden="1" outlineLevel="1" x14ac:dyDescent="0.25">
      <c r="A1" t="str">
        <f>IF(_epmOfflineCondition_,"C_TOTALC", _xll.EPMOlapMemberO("[AUDITTRAIL].[PARENTH1].[C_TOTALC]","","C_TOTALC","","000"))</f>
        <v>C_TOTALC</v>
      </c>
      <c r="C1" s="31" t="s">
        <v>0</v>
      </c>
      <c r="E1" s="32"/>
      <c r="F1" s="32"/>
      <c r="G1" s="32"/>
    </row>
    <row r="2" spans="1:7" hidden="1" outlineLevel="1" x14ac:dyDescent="0.25">
      <c r="A2" t="str">
        <f>IF(_epmOfflineCondition_,"EUR", _xll.EPMOlapMemberO("[CURRENCY].[].[EUR]","","EUR","","000"))</f>
        <v>EUR</v>
      </c>
      <c r="C2" t="str">
        <f>IF($F$13="GROUP_SCOPE","TOT_ENTITY","REGC")</f>
        <v>REGC</v>
      </c>
      <c r="E2" s="32"/>
      <c r="F2" s="32"/>
      <c r="G2" s="32"/>
    </row>
    <row r="3" spans="1:7" hidden="1" outlineLevel="1" x14ac:dyDescent="0.25">
      <c r="A3" t="str">
        <f>IF(_epmOfflineCondition_,"F99", _xll.EPMOlapMemberO("[FLUSSO].[PARENTH1].[F99]","","F99","","000"))</f>
        <v>F99</v>
      </c>
      <c r="E3" s="32"/>
      <c r="F3" s="32"/>
      <c r="G3" s="32"/>
    </row>
    <row r="4" spans="1:7" hidden="1" outlineLevel="1" x14ac:dyDescent="0.25">
      <c r="A4" t="str">
        <f>IF(_epmOfflineCondition_,"GROUP_SCOPE", _xll.EPMOlapMemberO(C9,"[SCOPE].[PARENTH1].[GROUP_SCOPE]","GROUP_SCOPE - Perimetro Gruppo","","000"))</f>
        <v>GROUP_SCOPE</v>
      </c>
      <c r="C4" s="31" t="s">
        <v>1</v>
      </c>
      <c r="E4" s="32"/>
      <c r="F4" s="32"/>
      <c r="G4" s="32"/>
    </row>
    <row r="5" spans="1:7" hidden="1" outlineLevel="1" x14ac:dyDescent="0.25">
      <c r="A5" t="str">
        <f>IF(_epmOfflineCondition_,"TOT_ENTITY", _xll.EPMOlapMemberO(C2,"[ENTITY].[PARENTH1].[TOT_ENTITY]","TOT_ENTITY - Totale Entity","","000"))</f>
        <v>TOT_ENTITY</v>
      </c>
      <c r="C5">
        <f>+F12</f>
        <v>0</v>
      </c>
      <c r="E5" s="32"/>
      <c r="F5" s="32"/>
      <c r="G5" s="32"/>
    </row>
    <row r="6" spans="1:7" hidden="1" outlineLevel="1" x14ac:dyDescent="0.25">
      <c r="A6" t="str">
        <f>IF(_epmOfflineCondition_,"ACTUAL - ACTUAL", _xll.EPMOlapMemberO("[CATEGORY].[].[ACTUAL]","","ACTUAL - ACTUAL","","000"))</f>
        <v>ACTUAL - ACTUAL</v>
      </c>
      <c r="C6" t="str">
        <f>LEFT(C5,4)-1&amp;".12"</f>
        <v>-1.12</v>
      </c>
      <c r="E6" s="32"/>
      <c r="F6" s="32"/>
      <c r="G6" s="32"/>
    </row>
    <row r="7" spans="1:7" hidden="1" outlineLevel="1" x14ac:dyDescent="0.25">
      <c r="A7" t="str">
        <f>IF(_epmOfflineCondition_,"YTD - Year To Date", _xll.EPMOlapMemberO("[MEASURES].[].[YTD]","","YTD - Year To Date","","000"))</f>
        <v>YTD - Year To Date</v>
      </c>
      <c r="E7" s="32"/>
      <c r="F7" s="32"/>
      <c r="G7" s="32"/>
    </row>
    <row r="8" spans="1:7" collapsed="1" x14ac:dyDescent="0.25">
      <c r="A8" t="str">
        <f>IF(_epmOfflineCondition_,"TOT_DIREZIONE - Totale Direzioni", _xll.EPMOlapMemberO("[DIREZIONE].[PARENTH1].[TOT_DIREZIONE]","","TOT_DIREZIONE - Totale Direzioni","","000"))</f>
        <v>TOT_DIREZIONE - Totale Direzioni</v>
      </c>
      <c r="C8" s="31" t="s">
        <v>47</v>
      </c>
      <c r="E8" s="32"/>
      <c r="F8" s="32"/>
      <c r="G8" s="32"/>
    </row>
    <row r="9" spans="1:7" x14ac:dyDescent="0.25">
      <c r="A9" t="str">
        <f>IF(_epmOfflineCondition_,"TOT_INTERCO - Totale Intercompany", _xll.EPMOlapMemberO("[INTERCO].[PARENTH1].[TOT_INTERCO]","","TOT_INTERCO - Totale Intercompany","","000"))</f>
        <v>TOT_INTERCO - Totale Intercompany</v>
      </c>
      <c r="C9">
        <f>+F13</f>
        <v>0</v>
      </c>
      <c r="E9" s="32"/>
      <c r="F9" s="32"/>
      <c r="G9" s="32"/>
    </row>
    <row r="10" spans="1:7" x14ac:dyDescent="0.25">
      <c r="E10" s="32"/>
      <c r="F10" s="32"/>
      <c r="G10" s="32"/>
    </row>
    <row r="11" spans="1:7" x14ac:dyDescent="0.25">
      <c r="E11" s="33"/>
      <c r="G11"/>
    </row>
    <row r="12" spans="1:7" x14ac:dyDescent="0.25">
      <c r="E12" s="33"/>
      <c r="F12" s="101"/>
      <c r="G12" s="34"/>
    </row>
    <row r="13" spans="1:7" x14ac:dyDescent="0.25">
      <c r="E13" s="32"/>
      <c r="F13" s="101"/>
      <c r="G13" s="32"/>
    </row>
    <row r="14" spans="1:7" ht="15.75" x14ac:dyDescent="0.25">
      <c r="E14" s="35"/>
      <c r="F14" s="100"/>
      <c r="G14"/>
    </row>
    <row r="15" spans="1:7" x14ac:dyDescent="0.25">
      <c r="E15" s="32"/>
      <c r="F15" s="102"/>
      <c r="G15" s="32"/>
    </row>
    <row r="16" spans="1:7" hidden="1" outlineLevel="1" x14ac:dyDescent="0.25">
      <c r="E16" s="32"/>
      <c r="F16" s="32"/>
      <c r="G16" s="32"/>
    </row>
    <row r="17" spans="5:9" ht="37.5" collapsed="1" x14ac:dyDescent="0.25">
      <c r="E17" s="36" t="s">
        <v>10</v>
      </c>
      <c r="F17" s="37">
        <v>2024</v>
      </c>
      <c r="G17" s="37">
        <v>2023</v>
      </c>
      <c r="H17" s="38" t="s">
        <v>11</v>
      </c>
      <c r="I17" s="38" t="s">
        <v>12</v>
      </c>
    </row>
    <row r="18" spans="5:9" hidden="1" outlineLevel="1" x14ac:dyDescent="0.25">
      <c r="E18" s="32"/>
      <c r="F18" s="32"/>
      <c r="G18" s="32"/>
    </row>
    <row r="19" spans="5:9" hidden="1" outlineLevel="1" x14ac:dyDescent="0.25">
      <c r="E19"/>
      <c r="F19" s="39" t="str">
        <f>IF(_epmOfflineCondition_,"2024.TOTAL", _xll.EPMOlapMemberO(C5,"[TIME].[PARENTH1].[2024.TOTAL]","2024.TOTAL - Totale 2024","","000"))</f>
        <v>2024.TOTAL</v>
      </c>
      <c r="G19" s="39" t="str">
        <f>IF(_epmOfflineCondition_,"2023.12", _xll.EPMOlapMemberO(C6,"[TIME].[PARENTH1].[2023.12]","2023.12 - Dic 2023","","000"))</f>
        <v>2023.12</v>
      </c>
    </row>
    <row r="20" spans="5:9" collapsed="1" x14ac:dyDescent="0.25">
      <c r="E20" s="40" t="s">
        <v>2</v>
      </c>
      <c r="F20" s="41"/>
      <c r="G20" s="41"/>
      <c r="H20" s="42"/>
      <c r="I20" s="42"/>
    </row>
    <row r="21" spans="5:9" x14ac:dyDescent="0.25">
      <c r="E21" s="43" t="str">
        <f>IF(_epmOfflineCondition_,"1 Proventi da tributi", _xll.EPMOlapMemberO("[CONTO].[PARENTH2].[RGCE18]","","1 Proventi da tributi","","000"))</f>
        <v>1 Proventi da tributi</v>
      </c>
      <c r="F21" s="5">
        <v>8043999235.1099997</v>
      </c>
      <c r="G21" s="5">
        <v>7731079822.8599997</v>
      </c>
      <c r="H21" s="44"/>
      <c r="I21" s="44"/>
    </row>
    <row r="22" spans="5:9" x14ac:dyDescent="0.25">
      <c r="E22" s="43" t="str">
        <f>IF(_epmOfflineCondition_,"2 Proventi da fondi perequativi", _xll.EPMOlapMemberO("[CONTO].[PARENTH2].[RGCE19]","","2 Proventi da fondi perequativi","","000"))</f>
        <v>2 Proventi da fondi perequativi</v>
      </c>
      <c r="F22" s="5">
        <v>6019565593.3599997</v>
      </c>
      <c r="G22" s="5">
        <v>5784200622</v>
      </c>
      <c r="H22" s="45"/>
      <c r="I22" s="45"/>
    </row>
    <row r="23" spans="5:9" x14ac:dyDescent="0.25">
      <c r="E23" s="43" t="str">
        <f>IF(_epmOfflineCondition_,"3 Proventi da trasferimenti e contributi", _xll.EPMOlapMemberO("[CONTO].[PARENTH2].[RGCE20]","","3 Proventi da trasferimenti e contributi","","000"))</f>
        <v>3 Proventi da trasferimenti e contributi</v>
      </c>
      <c r="F23" s="5">
        <v>5167746385.5100002</v>
      </c>
      <c r="G23" s="5">
        <v>4151451020.3499999</v>
      </c>
      <c r="H23" s="45"/>
      <c r="I23" s="45"/>
    </row>
    <row r="24" spans="5:9" x14ac:dyDescent="0.25">
      <c r="E24" s="46" t="str">
        <f>IF(_epmOfflineCondition_,"a Proventi da trasferimenti correnti", _xll.EPMOlapMemberO("[CONTO].[PARENTH2].[RGCE62]","","a Proventi da trasferimenti correnti","","000"))</f>
        <v>a Proventi da trasferimenti correnti</v>
      </c>
      <c r="F24" s="6">
        <v>1924064511.8299999</v>
      </c>
      <c r="G24" s="6">
        <v>1958884720.9100001</v>
      </c>
      <c r="H24" s="45"/>
      <c r="I24" s="48" t="s">
        <v>13</v>
      </c>
    </row>
    <row r="25" spans="5:9" x14ac:dyDescent="0.25">
      <c r="E25" s="46" t="str">
        <f>IF(_epmOfflineCondition_,"b Quota annuale di contributi agli investim.", _xll.EPMOlapMemberO("[CONTO].[PARENTH2].[RGCE63]","","b Quota annuale di contributi agli investim.","","000"))</f>
        <v>b Quota annuale di contributi agli investim.</v>
      </c>
      <c r="F25" s="6">
        <v>520471</v>
      </c>
      <c r="G25" s="6">
        <v>0</v>
      </c>
      <c r="H25" s="45"/>
      <c r="I25" s="48" t="s">
        <v>14</v>
      </c>
    </row>
    <row r="26" spans="5:9" x14ac:dyDescent="0.25">
      <c r="E26" s="46" t="str">
        <f>IF(_epmOfflineCondition_,"c Contributi agli investimenti", _xll.EPMOlapMemberO("[CONTO].[PARENTH2].[RGCE64]","","c Contributi agli investimenti","","000"))</f>
        <v>c Contributi agli investimenti</v>
      </c>
      <c r="F26" s="6">
        <v>3243161402.6799998</v>
      </c>
      <c r="G26" s="6">
        <v>2192566299.4400001</v>
      </c>
      <c r="H26" s="45"/>
      <c r="I26" s="45"/>
    </row>
    <row r="27" spans="5:9" x14ac:dyDescent="0.25">
      <c r="E27" s="43" t="str">
        <f>IF(_epmOfflineCondition_,"4 Ricavi vendite e prestazioni e proventi", _xll.EPMOlapMemberO("[CONTO].[PARENTH2].[RGCE21]","","4 Ricavi vendite e prestazioni e proventi","","000"))</f>
        <v>4 Ricavi vendite e prestazioni e proventi</v>
      </c>
      <c r="F27" s="5">
        <v>2186587171.6999998</v>
      </c>
      <c r="G27" s="5">
        <v>1965899928.1400001</v>
      </c>
      <c r="H27" s="48" t="s">
        <v>15</v>
      </c>
      <c r="I27" s="48" t="s">
        <v>16</v>
      </c>
    </row>
    <row r="28" spans="5:9" x14ac:dyDescent="0.25">
      <c r="E28" s="46" t="str">
        <f>IF(_epmOfflineCondition_,"a Proventi derivanti dalla gestione dei beni", _xll.EPMOlapMemberO("[CONTO].[PARENTH2].[RGCE65]","","a Proventi derivanti dalla gestione dei beni","","000"))</f>
        <v>a Proventi derivanti dalla gestione dei beni</v>
      </c>
      <c r="F28" s="6">
        <v>267269084.87</v>
      </c>
      <c r="G28" s="6">
        <v>211053590.53999999</v>
      </c>
      <c r="H28" s="45"/>
      <c r="I28" s="45"/>
    </row>
    <row r="29" spans="5:9" x14ac:dyDescent="0.25">
      <c r="E29" s="46" t="str">
        <f>IF(_epmOfflineCondition_,"b Ricavi della vendita di beni", _xll.EPMOlapMemberO("[CONTO].[PARENTH2].[RGCE66]","","b Ricavi della vendita di beni","","000"))</f>
        <v>b Ricavi della vendita di beni</v>
      </c>
      <c r="F29" s="6"/>
      <c r="G29" s="6"/>
      <c r="H29" s="45"/>
      <c r="I29" s="45"/>
    </row>
    <row r="30" spans="5:9" x14ac:dyDescent="0.25">
      <c r="E30" s="46" t="str">
        <f>IF(_epmOfflineCondition_,"c Ricavi e proventi dalla prestazione di serv", _xll.EPMOlapMemberO("[CONTO].[PARENTH2].[RGCE67]","","c Ricavi e proventi dalla prestazione di serv","","000"))</f>
        <v>c Ricavi e proventi dalla prestazione di serv</v>
      </c>
      <c r="F30" s="6">
        <v>1919318086.8299999</v>
      </c>
      <c r="G30" s="6">
        <v>1754846337.5999999</v>
      </c>
      <c r="H30" s="45"/>
      <c r="I30" s="45"/>
    </row>
    <row r="31" spans="5:9" x14ac:dyDescent="0.25">
      <c r="E31" s="43" t="str">
        <f>IF(_epmOfflineCondition_,"5 Variazioni nelle rimanenze di prodotti in", _xll.EPMOlapMemberO("[CONTO].[PARENTH2].[RGCE22]","","5 Variazioni nelle rimanenze di prodotti in","","000"))</f>
        <v>5 Variazioni nelle rimanenze di prodotti in</v>
      </c>
      <c r="F31" s="5">
        <v>3191686</v>
      </c>
      <c r="G31" s="5">
        <v>-1825031</v>
      </c>
      <c r="H31" s="48" t="s">
        <v>17</v>
      </c>
      <c r="I31" s="48" t="s">
        <v>17</v>
      </c>
    </row>
    <row r="32" spans="5:9" x14ac:dyDescent="0.25">
      <c r="E32" s="43" t="str">
        <f>IF(_epmOfflineCondition_,"6 Variazione dei lavori in corso su ordinazi", _xll.EPMOlapMemberO("[CONTO].[PARENTH2].[RGCE23]","","6 Variazione dei lavori in corso su ordinazi","","000"))</f>
        <v>6 Variazione dei lavori in corso su ordinazi</v>
      </c>
      <c r="F32" s="5"/>
      <c r="G32" s="5"/>
      <c r="H32" s="48" t="s">
        <v>18</v>
      </c>
      <c r="I32" s="48" t="s">
        <v>18</v>
      </c>
    </row>
    <row r="33" spans="5:9" x14ac:dyDescent="0.25">
      <c r="E33" s="43" t="str">
        <f>IF(_epmOfflineCondition_,"7 Incrementi di immobilizzazioni per lavori", _xll.EPMOlapMemberO("[CONTO].[PARENTH2].[RGCE24]","","7 Incrementi di immobilizzazioni per lavori","","000"))</f>
        <v>7 Incrementi di immobilizzazioni per lavori</v>
      </c>
      <c r="F33" s="5">
        <v>20892</v>
      </c>
      <c r="G33" s="5">
        <v>142163</v>
      </c>
      <c r="H33" s="48" t="s">
        <v>19</v>
      </c>
      <c r="I33" s="48" t="s">
        <v>19</v>
      </c>
    </row>
    <row r="34" spans="5:9" x14ac:dyDescent="0.25">
      <c r="E34" s="43" t="str">
        <f>IF(_epmOfflineCondition_,"8 Altri ricavi e proventi diversi", _xll.EPMOlapMemberO("[CONTO].[PARENTH2].[RGCE25]","","8 Altri ricavi e proventi diversi","","000"))</f>
        <v>8 Altri ricavi e proventi diversi</v>
      </c>
      <c r="F34" s="5">
        <v>275593447.77999997</v>
      </c>
      <c r="G34" s="5">
        <v>817883030.13999999</v>
      </c>
      <c r="H34" s="48" t="s">
        <v>13</v>
      </c>
      <c r="I34" s="48" t="s">
        <v>20</v>
      </c>
    </row>
    <row r="35" spans="5:9" x14ac:dyDescent="0.25">
      <c r="E35" s="49" t="str">
        <f>IF(_epmOfflineCondition_,"A) COMPONENTI POSITIVI DELLA GESTIONE", _xll.EPMOlapMemberO("[CONTO].[PARENTH2].[RGCE8]","","A) COMPONENTI POSITIVI DELLA GESTIONE","","000"))</f>
        <v>A) COMPONENTI POSITIVI DELLA GESTIONE</v>
      </c>
      <c r="F35" s="4">
        <v>21696704411.459999</v>
      </c>
      <c r="G35" s="4">
        <v>20448831555.490002</v>
      </c>
      <c r="H35" s="42"/>
      <c r="I35" s="42"/>
    </row>
    <row r="36" spans="5:9" x14ac:dyDescent="0.25">
      <c r="E36" s="50"/>
      <c r="F36" s="7"/>
      <c r="G36" s="7"/>
      <c r="H36" s="42"/>
      <c r="I36" s="42"/>
    </row>
    <row r="37" spans="5:9" x14ac:dyDescent="0.25">
      <c r="E37" s="40" t="s">
        <v>3</v>
      </c>
      <c r="F37" s="4"/>
      <c r="G37" s="4"/>
      <c r="H37" s="42"/>
      <c r="I37" s="42"/>
    </row>
    <row r="38" spans="5:9" x14ac:dyDescent="0.25">
      <c r="E38" s="43" t="str">
        <f>IF(_epmOfflineCondition_,"9 Acquisto di materie prime e/o beni di consu", _xll.EPMOlapMemberO("[CONTO].[PARENTH2].[RGCE26]","","9 Acquisto di materie prime e/o beni di consu","","000"))</f>
        <v>9 Acquisto di materie prime e/o beni di consu</v>
      </c>
      <c r="F38" s="5">
        <v>1661894590.29</v>
      </c>
      <c r="G38" s="5">
        <v>1467260916.6099999</v>
      </c>
      <c r="H38" s="51" t="s">
        <v>21</v>
      </c>
      <c r="I38" s="51" t="s">
        <v>21</v>
      </c>
    </row>
    <row r="39" spans="5:9" x14ac:dyDescent="0.25">
      <c r="E39" s="43" t="str">
        <f>IF(_epmOfflineCondition_,"10 Prestazioni di servizi", _xll.EPMOlapMemberO("[CONTO].[PARENTH2].[RGCE27]","","10 Prestazioni di servizi","","000"))</f>
        <v>10 Prestazioni di servizi</v>
      </c>
      <c r="F39" s="5">
        <v>1956821369.4400001</v>
      </c>
      <c r="G39" s="5">
        <v>1728977279.3599999</v>
      </c>
      <c r="H39" s="52" t="s">
        <v>22</v>
      </c>
      <c r="I39" s="52" t="s">
        <v>22</v>
      </c>
    </row>
    <row r="40" spans="5:9" x14ac:dyDescent="0.25">
      <c r="E40" s="43" t="str">
        <f>IF(_epmOfflineCondition_,"11 Utilizzo  beni di terzi", _xll.EPMOlapMemberO("[CONTO].[PARENTH2].[RGCE28]","","11 Utilizzo  beni di terzi","","000"))</f>
        <v>11 Utilizzo  beni di terzi</v>
      </c>
      <c r="F40" s="5">
        <v>22161624.84</v>
      </c>
      <c r="G40" s="5">
        <v>22257176.829999998</v>
      </c>
      <c r="H40" s="52" t="s">
        <v>23</v>
      </c>
      <c r="I40" s="52" t="s">
        <v>23</v>
      </c>
    </row>
    <row r="41" spans="5:9" x14ac:dyDescent="0.25">
      <c r="E41" s="43" t="str">
        <f>IF(_epmOfflineCondition_,"12 Trasferimenti e contributi", _xll.EPMOlapMemberO("[CONTO].[PARENTH2].[RGCE29]","","12 Trasferimenti e contributi","","000"))</f>
        <v>12 Trasferimenti e contributi</v>
      </c>
      <c r="F41" s="5">
        <v>14882618674.52</v>
      </c>
      <c r="G41" s="5">
        <v>14235777282.42</v>
      </c>
      <c r="H41" s="45"/>
      <c r="I41" s="45"/>
    </row>
    <row r="42" spans="5:9" x14ac:dyDescent="0.25">
      <c r="E42" s="46" t="str">
        <f>IF(_epmOfflineCondition_,"a Trasferimenti correnti", _xll.EPMOlapMemberO("[CONTO].[PARENTH2].[RGCE55]","","a Trasferimenti correnti","","000"))</f>
        <v>a Trasferimenti correnti</v>
      </c>
      <c r="F42" s="6">
        <v>12669846354.620001</v>
      </c>
      <c r="G42" s="6">
        <v>12115027497.57</v>
      </c>
      <c r="H42" s="45"/>
      <c r="I42" s="45"/>
    </row>
    <row r="43" spans="5:9" x14ac:dyDescent="0.25">
      <c r="E43" s="46" t="str">
        <f>IF(_epmOfflineCondition_,"b Contributi agli investimenti ad Amministraz", _xll.EPMOlapMemberO("[CONTO].[PARENTH2].[RGCE56]","","b Contributi agli investimenti ad Amministraz","","000"))</f>
        <v>b Contributi agli investimenti ad Amministraz</v>
      </c>
      <c r="F43" s="6">
        <v>1870238297.0899999</v>
      </c>
      <c r="G43" s="6">
        <v>1498047949.1400001</v>
      </c>
      <c r="H43" s="45"/>
      <c r="I43" s="53"/>
    </row>
    <row r="44" spans="5:9" x14ac:dyDescent="0.25">
      <c r="E44" s="46" t="str">
        <f>IF(_epmOfflineCondition_,"c Contributi agli investimenti ad altri sogg.", _xll.EPMOlapMemberO("[CONTO].[PARENTH2].[RGCE57]","","c Contributi agli investimenti ad altri sogg.","","000"))</f>
        <v>c Contributi agli investimenti ad altri sogg.</v>
      </c>
      <c r="F44" s="6">
        <v>342534022.81</v>
      </c>
      <c r="G44" s="6">
        <v>622701835.71000004</v>
      </c>
      <c r="H44" s="45"/>
      <c r="I44" s="45"/>
    </row>
    <row r="45" spans="5:9" x14ac:dyDescent="0.25">
      <c r="E45" s="43" t="str">
        <f>IF(_epmOfflineCondition_,"13 Personale", _xll.EPMOlapMemberO("[CONTO].[PARENTH2].[RGCE30]","","13 Personale","","000"))</f>
        <v>13 Personale</v>
      </c>
      <c r="F45" s="5">
        <v>613395610.63</v>
      </c>
      <c r="G45" s="5">
        <v>595461203.74000001</v>
      </c>
      <c r="H45" s="48" t="s">
        <v>24</v>
      </c>
      <c r="I45" s="48" t="s">
        <v>24</v>
      </c>
    </row>
    <row r="46" spans="5:9" x14ac:dyDescent="0.25">
      <c r="E46" s="43" t="str">
        <f>IF(_epmOfflineCondition_,"14 Ammortamenti e svalutazioni", _xll.EPMOlapMemberO("[CONTO].[PARENTH2].[RGCE31]","","14 Ammortamenti e svalutazioni","","000"))</f>
        <v>14 Ammortamenti e svalutazioni</v>
      </c>
      <c r="F46" s="5">
        <v>120659030.7</v>
      </c>
      <c r="G46" s="5">
        <v>101692159.06</v>
      </c>
      <c r="H46" s="48" t="s">
        <v>25</v>
      </c>
      <c r="I46" s="48" t="s">
        <v>25</v>
      </c>
    </row>
    <row r="47" spans="5:9" x14ac:dyDescent="0.25">
      <c r="E47" s="46" t="str">
        <f>IF(_epmOfflineCondition_,"a Ammortamenti di immobilizzazioniImmateriali", _xll.EPMOlapMemberO("[CONTO].[PARENTH2].[RGCE58]","","a Ammortamenti di immobilizzazioniImmateriali","","000"))</f>
        <v>a Ammortamenti di immobilizzazioniImmateriali</v>
      </c>
      <c r="F47" s="6">
        <v>31860535.84</v>
      </c>
      <c r="G47" s="6">
        <v>26440473.93</v>
      </c>
      <c r="H47" s="48" t="s">
        <v>26</v>
      </c>
      <c r="I47" s="48" t="s">
        <v>26</v>
      </c>
    </row>
    <row r="48" spans="5:9" x14ac:dyDescent="0.25">
      <c r="E48" s="46" t="str">
        <f>IF(_epmOfflineCondition_,"b Ammortamenti di immobilizzazioni materiali", _xll.EPMOlapMemberO("[CONTO].[PARENTH2].[RGCE59]","","b Ammortamenti di immobilizzazioni materiali","","000"))</f>
        <v>b Ammortamenti di immobilizzazioni materiali</v>
      </c>
      <c r="F48" s="6">
        <v>87700717.019999996</v>
      </c>
      <c r="G48" s="6">
        <v>74838391.159999996</v>
      </c>
      <c r="H48" s="48" t="s">
        <v>27</v>
      </c>
      <c r="I48" s="48" t="s">
        <v>27</v>
      </c>
    </row>
    <row r="49" spans="5:9" x14ac:dyDescent="0.25">
      <c r="E49" s="46" t="str">
        <f>IF(_epmOfflineCondition_,"c Altre svalutazioni delle immobilizzazioni", _xll.EPMOlapMemberO("[CONTO].[PARENTH2].[RGCE60]","","c Altre svalutazioni delle immobilizzazioni","","000"))</f>
        <v>c Altre svalutazioni delle immobilizzazioni</v>
      </c>
      <c r="F49" s="6">
        <v>859418.84</v>
      </c>
      <c r="G49" s="6">
        <v>387.93</v>
      </c>
      <c r="H49" s="48" t="s">
        <v>28</v>
      </c>
      <c r="I49" s="48" t="s">
        <v>28</v>
      </c>
    </row>
    <row r="50" spans="5:9" x14ac:dyDescent="0.25">
      <c r="E50" s="46" t="str">
        <f>IF(_epmOfflineCondition_,"d Svalutazione dei crediti", _xll.EPMOlapMemberO("[CONTO].[PARENTH2].[RGCE61]","","d Svalutazione dei crediti","","000"))</f>
        <v>d Svalutazione dei crediti</v>
      </c>
      <c r="F50" s="6">
        <v>238359</v>
      </c>
      <c r="G50" s="6">
        <v>412906.04</v>
      </c>
      <c r="H50" s="48" t="s">
        <v>29</v>
      </c>
      <c r="I50" s="48" t="s">
        <v>29</v>
      </c>
    </row>
    <row r="51" spans="5:9" x14ac:dyDescent="0.25">
      <c r="E51" s="43" t="str">
        <f>IF(_epmOfflineCondition_,"15 Variazioni nelle rimanenze di materie prim", _xll.EPMOlapMemberO("[CONTO].[PARENTH2].[RGCE32]","","15 Variazioni nelle rimanenze di materie prim","","000"))</f>
        <v>15 Variazioni nelle rimanenze di materie prim</v>
      </c>
      <c r="F51" s="5">
        <v>-1530273</v>
      </c>
      <c r="G51" s="5">
        <v>1032638.47</v>
      </c>
      <c r="H51" s="48" t="s">
        <v>30</v>
      </c>
      <c r="I51" s="48" t="s">
        <v>30</v>
      </c>
    </row>
    <row r="52" spans="5:9" x14ac:dyDescent="0.25">
      <c r="E52" s="43" t="str">
        <f>IF(_epmOfflineCondition_,"16 Accantonamenti per rischi", _xll.EPMOlapMemberO("[CONTO].[PARENTH2].[RGCE33]","","16 Accantonamenti per rischi","","000"))</f>
        <v>16 Accantonamenti per rischi</v>
      </c>
      <c r="F52" s="5">
        <v>63047520.530000001</v>
      </c>
      <c r="G52" s="5">
        <v>127570344.51000001</v>
      </c>
      <c r="H52" s="54" t="s">
        <v>31</v>
      </c>
      <c r="I52" s="54" t="s">
        <v>31</v>
      </c>
    </row>
    <row r="53" spans="5:9" x14ac:dyDescent="0.25">
      <c r="E53" s="43" t="str">
        <f>IF(_epmOfflineCondition_,"17 Altri accantonamenti", _xll.EPMOlapMemberO("[CONTO].[PARENTH2].[RGCE34]","","17 Altri accantonamenti","","000"))</f>
        <v>17 Altri accantonamenti</v>
      </c>
      <c r="F53" s="5">
        <v>19936342.469999999</v>
      </c>
      <c r="G53" s="5">
        <v>100598020.43000001</v>
      </c>
      <c r="H53" s="48" t="s">
        <v>32</v>
      </c>
      <c r="I53" s="48" t="s">
        <v>32</v>
      </c>
    </row>
    <row r="54" spans="5:9" x14ac:dyDescent="0.25">
      <c r="E54" s="43" t="str">
        <f>IF(_epmOfflineCondition_,"18 Oneri diversi di gestione", _xll.EPMOlapMemberO("[CONTO].[PARENTH2].[RGCE35]","","18 Oneri diversi di gestione","","000"))</f>
        <v>18 Oneri diversi di gestione</v>
      </c>
      <c r="F54" s="5">
        <v>105624302.61</v>
      </c>
      <c r="G54" s="5">
        <v>116897072.79000001</v>
      </c>
      <c r="H54" s="55" t="s">
        <v>33</v>
      </c>
      <c r="I54" s="55" t="s">
        <v>33</v>
      </c>
    </row>
    <row r="55" spans="5:9" x14ac:dyDescent="0.25">
      <c r="E55" s="49" t="str">
        <f>IF(_epmOfflineCondition_,"B) COMPONENTI NEGATIVI DELLA GESTIONE", _xll.EPMOlapMemberO("[CONTO].[PARENTH2].[RGCE9]","","B) COMPONENTI NEGATIVI DELLA GESTIONE","","000"))</f>
        <v>B) COMPONENTI NEGATIVI DELLA GESTIONE</v>
      </c>
      <c r="F55" s="4">
        <v>19444628793.029999</v>
      </c>
      <c r="G55" s="4">
        <v>18497524094.220001</v>
      </c>
      <c r="H55" s="42"/>
      <c r="I55" s="42"/>
    </row>
    <row r="56" spans="5:9" x14ac:dyDescent="0.25">
      <c r="E56" s="49" t="str">
        <f>IF(_epmOfflineCondition_,"DIFFERENZA FRA COMP. POS E NEG DELLA GESTIONE", _xll.EPMOlapMemberO("[CONTO].[PARENTH2].[RGCE69]","","DIFFERENZA FRA COMP. POS E NEG DELLA GESTIONE","","000"))</f>
        <v>DIFFERENZA FRA COMP. POS E NEG DELLA GESTIONE</v>
      </c>
      <c r="F56" s="4">
        <v>2252075618.4299998</v>
      </c>
      <c r="G56" s="4">
        <v>1951307461.27</v>
      </c>
      <c r="H56" s="42"/>
      <c r="I56" s="42"/>
    </row>
    <row r="57" spans="5:9" x14ac:dyDescent="0.25">
      <c r="E57" s="50"/>
      <c r="F57" s="7"/>
      <c r="G57" s="7"/>
      <c r="H57" s="42"/>
      <c r="I57" s="42"/>
    </row>
    <row r="58" spans="5:9" x14ac:dyDescent="0.25">
      <c r="E58" s="40" t="s">
        <v>4</v>
      </c>
      <c r="F58" s="4"/>
      <c r="G58" s="4"/>
      <c r="H58" s="42"/>
      <c r="I58" s="42"/>
    </row>
    <row r="59" spans="5:9" x14ac:dyDescent="0.25">
      <c r="E59" s="43" t="str">
        <f>IF(_epmOfflineCondition_,"19 Proventi da partecipazioni", _xll.EPMOlapMemberO("[CONTO].[PARENTH2].[RGCE36]","","19 Proventi da partecipazioni","","000"))</f>
        <v>19 Proventi da partecipazioni</v>
      </c>
      <c r="F59" s="5">
        <v>2854506.93</v>
      </c>
      <c r="G59" s="5"/>
      <c r="H59" s="56" t="s">
        <v>34</v>
      </c>
      <c r="I59" s="56" t="s">
        <v>34</v>
      </c>
    </row>
    <row r="60" spans="5:9" x14ac:dyDescent="0.25">
      <c r="E60" s="46" t="str">
        <f>IF(_epmOfflineCondition_,"a da società controllate", _xll.EPMOlapMemberO("[CONTO].[PARENTH2].[RGCE41]","","a da società controllate","","000"))</f>
        <v>a da società controllate</v>
      </c>
      <c r="F60" s="6">
        <v>2850138.93</v>
      </c>
      <c r="G60" s="6"/>
      <c r="H60" s="48"/>
      <c r="I60" s="48"/>
    </row>
    <row r="61" spans="5:9" x14ac:dyDescent="0.25">
      <c r="E61" s="46" t="str">
        <f>IF(_epmOfflineCondition_,"b da società partecipate", _xll.EPMOlapMemberO("[CONTO].[PARENTH2].[RGCE42]","","b da società partecipate","","000"))</f>
        <v>b da società partecipate</v>
      </c>
      <c r="F61" s="6"/>
      <c r="G61" s="6"/>
      <c r="H61" s="48"/>
      <c r="I61" s="48"/>
    </row>
    <row r="62" spans="5:9" x14ac:dyDescent="0.25">
      <c r="E62" s="46" t="str">
        <f>IF(_epmOfflineCondition_,"c da altri soggetti", _xll.EPMOlapMemberO("[CONTO].[PARENTH2].[RGCE43]","","c da altri soggetti","","000"))</f>
        <v>c da altri soggetti</v>
      </c>
      <c r="F62" s="6">
        <v>4368</v>
      </c>
      <c r="G62" s="6"/>
      <c r="H62" s="48"/>
      <c r="I62" s="48"/>
    </row>
    <row r="63" spans="5:9" x14ac:dyDescent="0.25">
      <c r="E63" s="43" t="str">
        <f>IF(_epmOfflineCondition_,"20 Altri proventi finanziari", _xll.EPMOlapMemberO("[CONTO].[PARENTH2].[RGCE37]","","20 Altri proventi finanziari","","000"))</f>
        <v>20 Altri proventi finanziari</v>
      </c>
      <c r="F63" s="5">
        <v>29441092.530000001</v>
      </c>
      <c r="G63" s="5">
        <v>23523461.120000001</v>
      </c>
      <c r="H63" s="48" t="s">
        <v>35</v>
      </c>
      <c r="I63" s="48" t="s">
        <v>35</v>
      </c>
    </row>
    <row r="64" spans="5:9" x14ac:dyDescent="0.25">
      <c r="E64" s="57" t="str">
        <f>IF(_epmOfflineCondition_,"Proventi finanziari", _xll.EPMOlapMemberO("[CONTO].[PARENTH2].[RGCE13]","","Proventi finanziari","","000"))</f>
        <v>Proventi finanziari</v>
      </c>
      <c r="F64" s="8">
        <v>32295599.460000001</v>
      </c>
      <c r="G64" s="8">
        <v>23523461.120000001</v>
      </c>
      <c r="H64" s="55"/>
      <c r="I64" s="55"/>
    </row>
    <row r="65" spans="5:9" x14ac:dyDescent="0.25">
      <c r="E65" s="43" t="str">
        <f>IF(_epmOfflineCondition_,"21 Interessi ed altri oneri finanziari", _xll.EPMOlapMemberO("[CONTO].[PARENTH2].[RGCE38]","","21 Interessi ed altri oneri finanziari","","000"))</f>
        <v>21 Interessi ed altri oneri finanziari</v>
      </c>
      <c r="F65" s="3">
        <v>230922906.56</v>
      </c>
      <c r="G65" s="3">
        <v>289712158.63</v>
      </c>
      <c r="H65" s="56" t="s">
        <v>36</v>
      </c>
      <c r="I65" s="56" t="s">
        <v>36</v>
      </c>
    </row>
    <row r="66" spans="5:9" x14ac:dyDescent="0.25">
      <c r="E66" s="46" t="str">
        <f>IF(_epmOfflineCondition_,"a Interessi passivi", _xll.EPMOlapMemberO("[CONTO].[PARENTH2].[RGCE39]","","a Interessi passivi","","000"))</f>
        <v>a Interessi passivi</v>
      </c>
      <c r="F66" s="6">
        <v>230891668.56</v>
      </c>
      <c r="G66" s="6">
        <v>289686459.63</v>
      </c>
      <c r="H66" s="45"/>
      <c r="I66" s="53"/>
    </row>
    <row r="67" spans="5:9" x14ac:dyDescent="0.25">
      <c r="E67" s="46" t="str">
        <f>IF(_epmOfflineCondition_,"b Altri oneri finanziari", _xll.EPMOlapMemberO("[CONTO].[PARENTH2].[RGCE40]","","b Altri oneri finanziari","","000"))</f>
        <v>b Altri oneri finanziari</v>
      </c>
      <c r="F67" s="6">
        <v>31238</v>
      </c>
      <c r="G67" s="6">
        <v>25699</v>
      </c>
      <c r="H67" s="45"/>
      <c r="I67" s="53"/>
    </row>
    <row r="68" spans="5:9" x14ac:dyDescent="0.25">
      <c r="E68" s="57" t="str">
        <f>IF(_epmOfflineCondition_,"Oneri finanziari", _xll.EPMOlapMemberO("[CONTO].[PARENTH2].[RGCE14]","","Oneri finanziari","","000"))</f>
        <v>Oneri finanziari</v>
      </c>
      <c r="F68" s="8">
        <v>230922906.56</v>
      </c>
      <c r="G68" s="8">
        <v>289712158.63</v>
      </c>
      <c r="H68" s="58"/>
      <c r="I68" s="58"/>
    </row>
    <row r="69" spans="5:9" x14ac:dyDescent="0.25">
      <c r="E69" s="49" t="str">
        <f>IF(_epmOfflineCondition_,"C) PROVENTI ED ONERI FINANZIARI", _xll.EPMOlapMemberO("[CONTO].[PARENTH2].[RGCE10]","","C) PROVENTI ED ONERI FINANZIARI","","000"))</f>
        <v>C) PROVENTI ED ONERI FINANZIARI</v>
      </c>
      <c r="F69" s="4">
        <v>-198627307.09999999</v>
      </c>
      <c r="G69" s="4">
        <v>-266188697.50999999</v>
      </c>
      <c r="H69" s="42"/>
      <c r="I69" s="42"/>
    </row>
    <row r="70" spans="5:9" x14ac:dyDescent="0.25">
      <c r="E70" s="50"/>
      <c r="F70" s="7"/>
      <c r="G70" s="7"/>
      <c r="H70" s="42"/>
      <c r="I70" s="42"/>
    </row>
    <row r="71" spans="5:9" x14ac:dyDescent="0.25">
      <c r="E71" s="40" t="s">
        <v>5</v>
      </c>
      <c r="F71" s="4"/>
      <c r="G71" s="4"/>
      <c r="H71" s="42"/>
      <c r="I71" s="42"/>
    </row>
    <row r="72" spans="5:9" x14ac:dyDescent="0.25">
      <c r="E72" s="59" t="str">
        <f>IF(_epmOfflineCondition_,"22 Rivalutazioni", _xll.EPMOlapMemberO("[CONTO].[PARENTH2].[RGCE44]","","22 Rivalutazioni","","000"))</f>
        <v>22 Rivalutazioni</v>
      </c>
      <c r="F72" s="6">
        <v>-210</v>
      </c>
      <c r="G72" s="6"/>
      <c r="H72" s="56" t="s">
        <v>37</v>
      </c>
      <c r="I72" s="56" t="s">
        <v>37</v>
      </c>
    </row>
    <row r="73" spans="5:9" x14ac:dyDescent="0.25">
      <c r="E73" s="59" t="str">
        <f>IF(_epmOfflineCondition_,"23 Svalutazioni", _xll.EPMOlapMemberO("[CONTO].[PARENTH2].[RGCE45]","","23 Svalutazioni","","000"))</f>
        <v>23 Svalutazioni</v>
      </c>
      <c r="F73" s="6"/>
      <c r="G73" s="6"/>
      <c r="H73" s="55" t="s">
        <v>38</v>
      </c>
      <c r="I73" s="55" t="s">
        <v>38</v>
      </c>
    </row>
    <row r="74" spans="5:9" x14ac:dyDescent="0.25">
      <c r="E74" s="49" t="str">
        <f>IF(_epmOfflineCondition_,"D) RETTIFICHE DI VALORE ATTIVITA' FINANZIARIE", _xll.EPMOlapMemberO("[CONTO].[PARENTH2].[RGCE11]","","D) RETTIFICHE DI VALORE ATTIVITA' FINANZIARIE","","000"))</f>
        <v>D) RETTIFICHE DI VALORE ATTIVITA' FINANZIARIE</v>
      </c>
      <c r="F74" s="4">
        <v>-210</v>
      </c>
      <c r="G74" s="4"/>
      <c r="H74" s="42"/>
      <c r="I74" s="42"/>
    </row>
    <row r="75" spans="5:9" x14ac:dyDescent="0.25">
      <c r="E75" s="50"/>
      <c r="F75" s="7"/>
      <c r="G75" s="7"/>
      <c r="H75" s="42"/>
      <c r="I75" s="42"/>
    </row>
    <row r="76" spans="5:9" x14ac:dyDescent="0.25">
      <c r="E76" s="40" t="s">
        <v>6</v>
      </c>
      <c r="F76" s="4"/>
      <c r="G76" s="4"/>
      <c r="H76" s="42"/>
      <c r="I76" s="42"/>
    </row>
    <row r="77" spans="5:9" x14ac:dyDescent="0.25">
      <c r="E77" s="60" t="s">
        <v>7</v>
      </c>
      <c r="F77" s="9"/>
      <c r="G77" s="9"/>
      <c r="H77" s="51" t="s">
        <v>39</v>
      </c>
      <c r="I77" s="51" t="s">
        <v>39</v>
      </c>
    </row>
    <row r="78" spans="5:9" x14ac:dyDescent="0.25">
      <c r="E78" s="59" t="str">
        <f>IF(_epmOfflineCondition_,"a Proventi da permessi di costruire", _xll.EPMOlapMemberO("[CONTO].[PARENTH2].[RGCE46]","","a Proventi da permessi di costruire","","000"))</f>
        <v>a Proventi da permessi di costruire</v>
      </c>
      <c r="F78" s="6"/>
      <c r="G78" s="6"/>
      <c r="H78" s="45"/>
      <c r="I78" s="53"/>
    </row>
    <row r="79" spans="5:9" x14ac:dyDescent="0.25">
      <c r="E79" s="59" t="str">
        <f>IF(_epmOfflineCondition_,"b Proventi da trasferimenti in conto capitale", _xll.EPMOlapMemberO("[CONTO].[PARENTH2].[RGCE47]","","b Proventi da trasferimenti in conto capitale","","000"))</f>
        <v>b Proventi da trasferimenti in conto capitale</v>
      </c>
      <c r="F79" s="6">
        <v>280826.23999999999</v>
      </c>
      <c r="G79" s="6">
        <v>309001.21000000002</v>
      </c>
      <c r="H79" s="45"/>
      <c r="I79" s="53"/>
    </row>
    <row r="80" spans="5:9" x14ac:dyDescent="0.25">
      <c r="E80" s="59" t="str">
        <f>IF(_epmOfflineCondition_,"c Sopravvenienze attive e insuss. del passivo", _xll.EPMOlapMemberO("[CONTO].[PARENTH2].[RGCE48]","","c Sopravvenienze attive e insuss. del passivo","","000"))</f>
        <v>c Sopravvenienze attive e insuss. del passivo</v>
      </c>
      <c r="F80" s="6">
        <v>527123075.68000001</v>
      </c>
      <c r="G80" s="6">
        <v>997471661.47000003</v>
      </c>
      <c r="H80" s="45"/>
      <c r="I80" s="54" t="s">
        <v>40</v>
      </c>
    </row>
    <row r="81" spans="5:9" x14ac:dyDescent="0.25">
      <c r="E81" s="59" t="str">
        <f>IF(_epmOfflineCondition_,"d Plusvalenze patrimoniali", _xll.EPMOlapMemberO("[CONTO].[PARENTH2].[RGCE49]","","d Plusvalenze patrimoniali","","000"))</f>
        <v>d Plusvalenze patrimoniali</v>
      </c>
      <c r="F81" s="6">
        <v>2774488.71</v>
      </c>
      <c r="G81" s="6">
        <v>3257020.09</v>
      </c>
      <c r="H81" s="45"/>
      <c r="I81" s="54" t="s">
        <v>14</v>
      </c>
    </row>
    <row r="82" spans="5:9" x14ac:dyDescent="0.25">
      <c r="E82" s="59" t="str">
        <f>IF(_epmOfflineCondition_,"e Altri proventi straordinari", _xll.EPMOlapMemberO("[CONTO].[PARENTH2].[RGCE50]","","e Altri proventi straordinari","","000"))</f>
        <v>e Altri proventi straordinari</v>
      </c>
      <c r="F82" s="6">
        <v>241409.96</v>
      </c>
      <c r="G82" s="6">
        <v>111338.84</v>
      </c>
      <c r="H82" s="45"/>
      <c r="I82" s="45"/>
    </row>
    <row r="83" spans="5:9" x14ac:dyDescent="0.25">
      <c r="E83" s="57" t="str">
        <f>IF(_epmOfflineCondition_,"Totale Proventi Straordinari", _xll.EPMOlapMemberO("[CONTO].[PARENTH2].[RGCE15]","","Totale Proventi Straordinari","","000"))</f>
        <v>Totale Proventi Straordinari</v>
      </c>
      <c r="F83" s="8">
        <v>530419800.58999997</v>
      </c>
      <c r="G83" s="8">
        <v>1001149021.61</v>
      </c>
      <c r="H83" s="58"/>
      <c r="I83" s="58"/>
    </row>
    <row r="84" spans="5:9" x14ac:dyDescent="0.25">
      <c r="E84" s="60" t="s">
        <v>8</v>
      </c>
      <c r="F84" s="9"/>
      <c r="G84" s="9"/>
      <c r="H84" s="54" t="s">
        <v>41</v>
      </c>
      <c r="I84" s="54" t="s">
        <v>41</v>
      </c>
    </row>
    <row r="85" spans="5:9" x14ac:dyDescent="0.25">
      <c r="E85" s="59" t="str">
        <f>IF(_epmOfflineCondition_,"a Trasferimenti in conto capitale", _xll.EPMOlapMemberO("[CONTO].[PARENTH2].[RGCE51]","","a Trasferimenti in conto capitale","","000"))</f>
        <v>a Trasferimenti in conto capitale</v>
      </c>
      <c r="F85" s="6">
        <v>1000000</v>
      </c>
      <c r="G85" s="6">
        <v>23137294.949999999</v>
      </c>
      <c r="H85" s="48"/>
      <c r="I85" s="48"/>
    </row>
    <row r="86" spans="5:9" x14ac:dyDescent="0.25">
      <c r="E86" s="59" t="str">
        <f>IF(_epmOfflineCondition_,"b Sopravvenienze passive e insuss.dell'attivo", _xll.EPMOlapMemberO("[CONTO].[PARENTH2].[RGCE52]","","b Sopravvenienze passive e insuss.dell'attivo","","000"))</f>
        <v>b Sopravvenienze passive e insuss.dell'attivo</v>
      </c>
      <c r="F86" s="6">
        <v>458444895.80000001</v>
      </c>
      <c r="G86" s="6">
        <v>982060952.92999995</v>
      </c>
      <c r="H86" s="48"/>
      <c r="I86" s="54" t="s">
        <v>42</v>
      </c>
    </row>
    <row r="87" spans="5:9" x14ac:dyDescent="0.25">
      <c r="E87" s="59" t="str">
        <f>IF(_epmOfflineCondition_,"c Minusvalenze patrimoniali", _xll.EPMOlapMemberO("[CONTO].[PARENTH2].[RGCE53]","","c Minusvalenze patrimoniali","","000"))</f>
        <v>c Minusvalenze patrimoniali</v>
      </c>
      <c r="F87" s="6">
        <v>14.86</v>
      </c>
      <c r="G87" s="6">
        <v>118390.14</v>
      </c>
      <c r="H87" s="48"/>
      <c r="I87" s="54" t="s">
        <v>43</v>
      </c>
    </row>
    <row r="88" spans="5:9" x14ac:dyDescent="0.25">
      <c r="E88" s="59" t="str">
        <f>IF(_epmOfflineCondition_,"d Altri oneri straordinari", _xll.EPMOlapMemberO("[CONTO].[PARENTH2].[RGCE54]","","d Altri oneri straordinari","","000"))</f>
        <v>d Altri oneri straordinari</v>
      </c>
      <c r="F88" s="6">
        <v>74669989.659999996</v>
      </c>
      <c r="G88" s="6">
        <v>101375162.86</v>
      </c>
      <c r="H88" s="48"/>
      <c r="I88" s="54" t="s">
        <v>44</v>
      </c>
    </row>
    <row r="89" spans="5:9" x14ac:dyDescent="0.25">
      <c r="E89" s="57" t="str">
        <f>IF(_epmOfflineCondition_,"Totali Oneri Straordinari", _xll.EPMOlapMemberO("[CONTO].[PARENTH2].[RGCE16]","","Totali Oneri Straordinari","","000"))</f>
        <v>Totali Oneri Straordinari</v>
      </c>
      <c r="F89" s="8">
        <v>534114900.31999999</v>
      </c>
      <c r="G89" s="8">
        <v>1106691800.8800001</v>
      </c>
      <c r="H89" s="48"/>
      <c r="I89" s="54"/>
    </row>
    <row r="90" spans="5:9" x14ac:dyDescent="0.25">
      <c r="E90" s="49" t="str">
        <f>IF(_epmOfflineCondition_,"E) PROVENTI ED ONERI STRAORDINARI", _xll.EPMOlapMemberO("[CONTO].[PARENTH2].[RGCE12]","","E) PROVENTI ED ONERI STRAORDINARI","","000"))</f>
        <v>E) PROVENTI ED ONERI STRAORDINARI</v>
      </c>
      <c r="F90" s="4">
        <v>-3695099.73</v>
      </c>
      <c r="G90" s="4">
        <v>-105542779.27</v>
      </c>
      <c r="H90" s="61"/>
      <c r="I90" s="61"/>
    </row>
    <row r="91" spans="5:9" x14ac:dyDescent="0.25">
      <c r="E91" s="49" t="str">
        <f>IF(_epmOfflineCondition_,"RISULTATO PRIMA DELLE IMPOSTE (A-B+C+D+E)", _xll.EPMOlapMemberO("[CONTO].[PARENTH2].[RGCE70]","","RISULTATO PRIMA DELLE IMPOSTE (A-B+C+D+E)","","000"))</f>
        <v>RISULTATO PRIMA DELLE IMPOSTE (A-B+C+D+E)</v>
      </c>
      <c r="F91" s="4">
        <v>2049753421.5999999</v>
      </c>
      <c r="G91" s="4">
        <v>1579575984.49</v>
      </c>
      <c r="H91" s="61"/>
      <c r="I91" s="61"/>
    </row>
    <row r="92" spans="5:9" x14ac:dyDescent="0.25">
      <c r="E92" s="40"/>
      <c r="F92" s="4"/>
      <c r="G92" s="4"/>
      <c r="H92" s="61"/>
      <c r="I92" s="61"/>
    </row>
    <row r="93" spans="5:9" x14ac:dyDescent="0.25">
      <c r="E93" s="59" t="str">
        <f>IF(_epmOfflineCondition_,"26 Imposte", _xll.EPMOlapMemberO("[CONTO].[PARENTH2].[RGCE17]","","26 Imposte","","000"))</f>
        <v>26 Imposte</v>
      </c>
      <c r="F93" s="6">
        <v>25256960.379999999</v>
      </c>
      <c r="G93" s="6">
        <v>20572982.52</v>
      </c>
      <c r="H93" s="62" t="s">
        <v>45</v>
      </c>
      <c r="I93" s="62" t="s">
        <v>45</v>
      </c>
    </row>
    <row r="94" spans="5:9" x14ac:dyDescent="0.25">
      <c r="E94" s="63" t="str">
        <f>IF(_epmOfflineCondition_,"27 RISULTATO DELL'ESERCIZIO (comprensivo della quota di pertinenza di terzi)", _xll.EPMOlapMemberO("[CONTO].[PARENTH2].[RGCE68]","","27 RISULTATO DELL'ESERCIZIO (comprensivo della quota di pertinenza di terzi)","","000"))</f>
        <v>27 RISULTATO DELL'ESERCIZIO (comprensivo della quota di pertinenza di terzi)</v>
      </c>
      <c r="F94" s="10">
        <v>2024496461.22</v>
      </c>
      <c r="G94" s="10">
        <v>1559003001.97</v>
      </c>
      <c r="H94" s="48" t="s">
        <v>46</v>
      </c>
      <c r="I94" s="48" t="s">
        <v>46</v>
      </c>
    </row>
    <row r="95" spans="5:9" x14ac:dyDescent="0.25">
      <c r="E95" s="60" t="s">
        <v>9</v>
      </c>
      <c r="F95" s="9">
        <f>+F94-F96-F97</f>
        <v>2024352141.22</v>
      </c>
      <c r="G95" s="9">
        <f>+G94-G96-G97</f>
        <v>1558792041.97</v>
      </c>
      <c r="H95" s="48"/>
      <c r="I95" s="48"/>
    </row>
    <row r="96" spans="5:9" hidden="1" outlineLevel="1" x14ac:dyDescent="0.25">
      <c r="E96" s="64" t="str">
        <f>IF(_epmOfflineCondition_,"30 RISULTATO DELL'ESERCIZIO DI PERTINENZA DI TERZI", _xll.EPMOlapMemberO("[CONTO].[PARENTH2].[RIS_UTILE_TERZI]","","30 RISULTATO DELL'ESERCIZIO DI PERTINENZA DI TERZI","","000"))</f>
        <v>30 RISULTATO DELL'ESERCIZIO DI PERTINENZA DI TERZI</v>
      </c>
      <c r="F96" s="30">
        <v>144320</v>
      </c>
      <c r="G96" s="30">
        <v>210960</v>
      </c>
      <c r="H96" s="65"/>
      <c r="I96" s="65"/>
    </row>
    <row r="97" spans="5:10" hidden="1" outlineLevel="1" x14ac:dyDescent="0.25">
      <c r="E97" s="64" t="str">
        <f>IF(_epmOfflineCondition_," Utile dell'esercizio (pertinenza di terzi)", _xll.EPMOlapMemberO("[CONTO].[PARENTH2].[CALC_PA90M]",""," Utile dell'esercizio (pertinenza di terzi)","","000"))</f>
        <v xml:space="preserve"> Utile dell'esercizio (pertinenza di terzi)</v>
      </c>
      <c r="F97" s="30">
        <v>0</v>
      </c>
      <c r="G97" s="30"/>
      <c r="H97" s="65"/>
      <c r="I97" s="65"/>
    </row>
    <row r="98" spans="5:10" collapsed="1" x14ac:dyDescent="0.25">
      <c r="E98" s="66" t="s">
        <v>130</v>
      </c>
      <c r="F98" s="67">
        <f>+F96+F97</f>
        <v>144320</v>
      </c>
      <c r="G98" s="67">
        <f>+G96+G97</f>
        <v>210960</v>
      </c>
      <c r="H98" s="65"/>
      <c r="I98" s="65"/>
      <c r="J98" s="104">
        <f>F72</f>
        <v>-210</v>
      </c>
    </row>
    <row r="99" spans="5:10" x14ac:dyDescent="0.25">
      <c r="E99" s="32"/>
      <c r="F99" s="32"/>
      <c r="G99" s="32"/>
    </row>
    <row r="100" spans="5:10" x14ac:dyDescent="0.25">
      <c r="E100" s="32"/>
      <c r="F100" s="68">
        <f>+F95+F98-F94</f>
        <v>0</v>
      </c>
      <c r="G100" s="68">
        <f>+G95+G98-G94</f>
        <v>0</v>
      </c>
    </row>
    <row r="101" spans="5:10" x14ac:dyDescent="0.25">
      <c r="E101" s="32"/>
      <c r="F101" s="68">
        <f>+F95-REPORT_SP!F123</f>
        <v>0</v>
      </c>
      <c r="G101" s="68">
        <f>+G95-REPORT_SP!G123</f>
        <v>0</v>
      </c>
    </row>
    <row r="102" spans="5:10" x14ac:dyDescent="0.25">
      <c r="E102" s="32"/>
      <c r="F102" s="68">
        <f>+F98-REPORT_SP!F131</f>
        <v>0</v>
      </c>
      <c r="G102" s="68">
        <f>+G98-REPORT_SP!G131</f>
        <v>0</v>
      </c>
    </row>
  </sheetData>
  <pageMargins left="0.23622047244094491" right="0.23622047244094491" top="0.74803149606299213" bottom="0.74803149606299213" header="0.31496062992125984" footer="0.31496062992125984"/>
  <pageSetup paperSize="9" scale="54" orientation="portrait" r:id="rId1"/>
  <customProperties>
    <customPr name="EpmWorksheetKeyString_GU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1028" r:id="rId7" name="AnalyzerDynReport000tb1">
          <controlPr defaultSize="0" autoLine="0" autoPict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9525</xdr:rowOff>
              </to>
            </anchor>
          </controlPr>
        </control>
      </mc:Choice>
      <mc:Fallback>
        <control shapeId="1028" r:id="rId7" name="AnalyzerDynReport000tb1"/>
      </mc:Fallback>
    </mc:AlternateContent>
    <mc:AlternateContent xmlns:mc="http://schemas.openxmlformats.org/markup-compatibility/2006">
      <mc:Choice Requires="x14">
        <control shapeId="1027" r:id="rId9" name="MultipleReportManagerInfotb1">
          <controlPr defaultSize="0" autoLine="0" autoPict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9525</xdr:rowOff>
              </to>
            </anchor>
          </controlPr>
        </control>
      </mc:Choice>
      <mc:Fallback>
        <control shapeId="1027" r:id="rId9" name="MultipleReportManagerInfotb1"/>
      </mc:Fallback>
    </mc:AlternateContent>
    <mc:AlternateContent xmlns:mc="http://schemas.openxmlformats.org/markup-compatibility/2006">
      <mc:Choice Requires="x14">
        <control shapeId="1026" r:id="rId11" name="ConnectionDescriptorsInfotb1">
          <controlPr defaultSize="0" autoLine="0" autoPict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9525</xdr:rowOff>
              </to>
            </anchor>
          </controlPr>
        </control>
      </mc:Choice>
      <mc:Fallback>
        <control shapeId="1026" r:id="rId11" name="ConnectionDescriptorsInfotb1"/>
      </mc:Fallback>
    </mc:AlternateContent>
    <mc:AlternateContent xmlns:mc="http://schemas.openxmlformats.org/markup-compatibility/2006">
      <mc:Choice Requires="x14">
        <control shapeId="1025" r:id="rId13" name="FPMExcelClientSheetOptionstb1">
          <controlPr defaultSize="0" autoLine="0" autoPict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9525</xdr:rowOff>
              </to>
            </anchor>
          </controlPr>
        </control>
      </mc:Choice>
      <mc:Fallback>
        <control shapeId="1025" r:id="rId13" name="FPMExcelClientSheetOptionstb1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FE5F7-7141-4277-957F-C1C412D92A49}">
  <sheetPr codeName="Foglio2">
    <pageSetUpPr fitToPage="1"/>
  </sheetPr>
  <dimension ref="A1:K187"/>
  <sheetViews>
    <sheetView showGridLines="0" topLeftCell="C8" zoomScale="80" zoomScaleNormal="80" workbookViewId="0">
      <pane ySplit="12" topLeftCell="A20" activePane="bottomLeft" state="frozen"/>
      <selection activeCell="C8" sqref="C8"/>
      <selection pane="bottomLeft" activeCell="T49" sqref="T49"/>
    </sheetView>
  </sheetViews>
  <sheetFormatPr defaultRowHeight="15" outlineLevelRow="1" outlineLevelCol="1" x14ac:dyDescent="0.25"/>
  <cols>
    <col min="1" max="1" width="36.7109375" hidden="1" customWidth="1" outlineLevel="1"/>
    <col min="2" max="2" width="9.140625" hidden="1" customWidth="1" outlineLevel="1"/>
    <col min="3" max="3" width="2.7109375" customWidth="1" collapsed="1"/>
    <col min="4" max="4" width="10.140625" hidden="1" customWidth="1" outlineLevel="1"/>
    <col min="5" max="5" width="90.7109375" style="1" customWidth="1" collapsed="1"/>
    <col min="6" max="7" width="20.7109375" style="1" customWidth="1"/>
    <col min="8" max="9" width="20.7109375" customWidth="1"/>
    <col min="10" max="10" width="9.140625" customWidth="1"/>
  </cols>
  <sheetData>
    <row r="1" spans="1:7" hidden="1" outlineLevel="1" x14ac:dyDescent="0.25">
      <c r="B1" s="31" t="s">
        <v>0</v>
      </c>
      <c r="E1" s="32"/>
      <c r="F1" s="32"/>
      <c r="G1" s="32"/>
    </row>
    <row r="2" spans="1:7" hidden="1" outlineLevel="1" x14ac:dyDescent="0.25">
      <c r="A2" t="str">
        <f>IF(_epmOfflineCondition_,"EUR", _xll.EPMOlapMemberO("[CURRENCY].[].[EUR]","","EUR","","000"))</f>
        <v>EUR</v>
      </c>
      <c r="B2" t="str">
        <f>IF($F$12="GROUP_SCOPE","TOT_ENTITY","REGC")</f>
        <v>REGC</v>
      </c>
      <c r="E2" s="32"/>
      <c r="F2" s="32"/>
      <c r="G2" s="32"/>
    </row>
    <row r="3" spans="1:7" hidden="1" outlineLevel="1" x14ac:dyDescent="0.25">
      <c r="A3" t="str">
        <f>IF(_epmOfflineCondition_,"F99", _xll.EPMOlapMemberO("[FLUSSO].[PARENTH1].[F99]","","F99","","000"))</f>
        <v>F99</v>
      </c>
      <c r="E3" s="32"/>
      <c r="F3" s="32"/>
      <c r="G3" s="32"/>
    </row>
    <row r="4" spans="1:7" hidden="1" outlineLevel="1" x14ac:dyDescent="0.25">
      <c r="A4" t="str">
        <f>IF(_epmOfflineCondition_,"GROUP_SCOPE", _xll.EPMOlapMemberO(B9,"[SCOPE].[PARENTH1].[GROUP_SCOPE]","GROUP_SCOPE - Perimetro Gruppo","","000"))</f>
        <v>GROUP_SCOPE</v>
      </c>
      <c r="B4" s="31" t="s">
        <v>1</v>
      </c>
      <c r="E4" s="32"/>
      <c r="F4" s="32"/>
      <c r="G4" s="32"/>
    </row>
    <row r="5" spans="1:7" hidden="1" outlineLevel="1" x14ac:dyDescent="0.25">
      <c r="A5" t="str">
        <f>IF(_epmOfflineCondition_,"TOT_ENTITY", _xll.EPMOlapMemberO(B2,"[ENTITY].[PARENTH1].[TOT_ENTITY]","TOT_ENTITY - Totale Entity","","000"))</f>
        <v>TOT_ENTITY</v>
      </c>
      <c r="B5">
        <f>+F11</f>
        <v>0</v>
      </c>
      <c r="E5" s="32"/>
      <c r="F5" s="32"/>
      <c r="G5" s="32"/>
    </row>
    <row r="6" spans="1:7" hidden="1" outlineLevel="1" x14ac:dyDescent="0.25">
      <c r="A6" t="str">
        <f>IF(_epmOfflineCondition_,"ACTUAL - ACTUAL", _xll.EPMOlapMemberO("[CATEGORY].[].[ACTUAL]","","ACTUAL - ACTUAL","","000"))</f>
        <v>ACTUAL - ACTUAL</v>
      </c>
      <c r="B6" t="str">
        <f>LEFT(B5,4)-1&amp;".12"</f>
        <v>-1.12</v>
      </c>
      <c r="E6" s="32"/>
      <c r="F6" s="32"/>
      <c r="G6" s="32"/>
    </row>
    <row r="7" spans="1:7" hidden="1" outlineLevel="1" x14ac:dyDescent="0.25">
      <c r="A7" t="str">
        <f>IF(_epmOfflineCondition_,"YTD - Year To Date", _xll.EPMOlapMemberO("[MEASURES].[].[YTD]","","YTD - Year To Date","","000"))</f>
        <v>YTD - Year To Date</v>
      </c>
      <c r="E7" s="32"/>
      <c r="F7" s="32"/>
      <c r="G7" s="32"/>
    </row>
    <row r="8" spans="1:7" collapsed="1" x14ac:dyDescent="0.25">
      <c r="A8" t="str">
        <f>IF(_epmOfflineCondition_,"TOT_DIREZIONE - Totale Direzioni", _xll.EPMOlapMemberO("[DIREZIONE].[PARENTH1].[TOT_DIREZIONE]","","TOT_DIREZIONE - Totale Direzioni","","000"))</f>
        <v>TOT_DIREZIONE - Totale Direzioni</v>
      </c>
      <c r="B8" s="31" t="s">
        <v>47</v>
      </c>
      <c r="E8" s="32"/>
      <c r="F8" s="32"/>
      <c r="G8" s="32"/>
    </row>
    <row r="9" spans="1:7" x14ac:dyDescent="0.25">
      <c r="A9" t="str">
        <f>IF(_epmOfflineCondition_,"TOT_INTERCO - Totale Intercompany", _xll.EPMOlapMemberO("[INTERCO].[PARENTH1].[TOT_INTERCO]","","TOT_INTERCO - Totale Intercompany","","000"))</f>
        <v>TOT_INTERCO - Totale Intercompany</v>
      </c>
      <c r="B9">
        <f>+F12</f>
        <v>0</v>
      </c>
      <c r="E9" s="32"/>
      <c r="F9" s="100"/>
      <c r="G9" s="32"/>
    </row>
    <row r="10" spans="1:7" x14ac:dyDescent="0.25">
      <c r="E10" s="32"/>
      <c r="F10" s="100"/>
      <c r="G10" s="32"/>
    </row>
    <row r="11" spans="1:7" x14ac:dyDescent="0.25">
      <c r="E11" s="33"/>
      <c r="F11" s="101"/>
      <c r="G11"/>
    </row>
    <row r="12" spans="1:7" x14ac:dyDescent="0.25">
      <c r="E12" s="33"/>
      <c r="F12" s="101"/>
      <c r="G12" s="34"/>
    </row>
    <row r="13" spans="1:7" x14ac:dyDescent="0.25">
      <c r="E13" s="32"/>
      <c r="F13" s="100"/>
      <c r="G13" s="32"/>
    </row>
    <row r="14" spans="1:7" ht="15.75" x14ac:dyDescent="0.25">
      <c r="E14" s="35"/>
      <c r="F14" s="102"/>
      <c r="G14"/>
    </row>
    <row r="15" spans="1:7" x14ac:dyDescent="0.25">
      <c r="E15" s="32"/>
      <c r="F15" s="32"/>
      <c r="G15" s="32"/>
    </row>
    <row r="16" spans="1:7" hidden="1" outlineLevel="1" x14ac:dyDescent="0.25">
      <c r="E16" s="32"/>
      <c r="F16" s="32"/>
      <c r="G16" s="32"/>
    </row>
    <row r="17" spans="4:9" ht="37.5" collapsed="1" x14ac:dyDescent="0.25">
      <c r="E17" s="36" t="s">
        <v>48</v>
      </c>
      <c r="F17" s="103">
        <v>45657</v>
      </c>
      <c r="G17" s="103">
        <v>45291</v>
      </c>
      <c r="H17" s="38" t="s">
        <v>11</v>
      </c>
      <c r="I17" s="38" t="s">
        <v>12</v>
      </c>
    </row>
    <row r="18" spans="4:9" hidden="1" outlineLevel="1" x14ac:dyDescent="0.25">
      <c r="E18" s="32"/>
      <c r="F18" s="32"/>
      <c r="G18" s="32"/>
    </row>
    <row r="19" spans="4:9" hidden="1" outlineLevel="1" x14ac:dyDescent="0.25">
      <c r="E19"/>
      <c r="F19" s="39" t="str">
        <f>IF(_epmOfflineCondition_,"2024.TOTAL", _xll.EPMOlapMemberO(B5,"[TIME].[PARENTH1].[2024.TOTAL]","2024.TOTAL - Totale 2024","","000"))</f>
        <v>2024.TOTAL</v>
      </c>
      <c r="G19" s="69" t="str">
        <f>IF(_epmOfflineCondition_,"2023.12", _xll.EPMOlapMemberO(B6,"[TIME].[PARENTH1].[2023.12]","2023.12 - Dic 2023","","000"))</f>
        <v>2023.12</v>
      </c>
      <c r="H19" s="70" t="s">
        <v>71</v>
      </c>
      <c r="I19" s="70" t="s">
        <v>71</v>
      </c>
    </row>
    <row r="20" spans="4:9" collapsed="1" x14ac:dyDescent="0.25">
      <c r="E20" s="40" t="s">
        <v>49</v>
      </c>
      <c r="F20" s="41"/>
      <c r="G20" s="70"/>
      <c r="H20" s="70" t="s">
        <v>71</v>
      </c>
      <c r="I20" s="70" t="s">
        <v>71</v>
      </c>
    </row>
    <row r="21" spans="4:9" x14ac:dyDescent="0.25">
      <c r="D21" s="71" t="str">
        <f>IF(_epmOfflineCondition_,"C_TOTALC", _xll.EPMOlapMemberO("[AUDITTRAIL].[PARENTH1].[C_TOTALC]","","C_TOTALC","","000"))</f>
        <v>C_TOTALC</v>
      </c>
      <c r="E21" s="49" t="str">
        <f>IF(_epmOfflineCondition_,"A) CREDITI vs.LO STATO", _xll.EPMOlapMemberO("[CONTO].[PARENTH2].[RGSP8]","","A) CREDITI vs.LO STATO","","000"))</f>
        <v>A) CREDITI vs.LO STATO</v>
      </c>
      <c r="F21" s="4">
        <v>0</v>
      </c>
      <c r="G21" s="16">
        <v>0</v>
      </c>
      <c r="H21" s="70"/>
      <c r="I21" s="70"/>
    </row>
    <row r="22" spans="4:9" x14ac:dyDescent="0.25">
      <c r="D22" s="72"/>
      <c r="E22" s="73"/>
      <c r="F22" s="4"/>
      <c r="G22" s="17"/>
      <c r="H22" s="74"/>
      <c r="I22" s="74"/>
    </row>
    <row r="23" spans="4:9" x14ac:dyDescent="0.25">
      <c r="D23" s="72"/>
      <c r="E23" s="40" t="s">
        <v>50</v>
      </c>
      <c r="F23" s="4"/>
      <c r="G23" s="16"/>
      <c r="H23" s="70"/>
      <c r="I23" s="70"/>
    </row>
    <row r="24" spans="4:9" x14ac:dyDescent="0.25">
      <c r="D24" s="72"/>
      <c r="E24" s="75" t="s">
        <v>51</v>
      </c>
      <c r="F24" s="18"/>
      <c r="G24" s="19"/>
      <c r="H24" s="76" t="s">
        <v>72</v>
      </c>
      <c r="I24" s="76" t="s">
        <v>72</v>
      </c>
    </row>
    <row r="25" spans="4:9" x14ac:dyDescent="0.25">
      <c r="D25" s="77" t="str">
        <f>IF(_epmOfflineCondition_,"C_TOTALC", _xll.EPMOlapMemberO("[AUDITTRAIL].[PARENTH1].[C_TOTALC]","","C_TOTALC","","000"))</f>
        <v>C_TOTALC</v>
      </c>
      <c r="E25" s="59" t="str">
        <f>IF(_epmOfflineCondition_,"1 Costi di impianto e di ampliamento", _xll.EPMOlapMemberO("[CONTO].[PARENTH2].[RGSP18]","","1 Costi di impianto e di ampliamento","","000"))</f>
        <v>1 Costi di impianto e di ampliamento</v>
      </c>
      <c r="F25" s="6">
        <v>762771.36</v>
      </c>
      <c r="G25" s="12">
        <v>1288505.72</v>
      </c>
      <c r="H25" s="78" t="s">
        <v>73</v>
      </c>
      <c r="I25" s="78" t="s">
        <v>73</v>
      </c>
    </row>
    <row r="26" spans="4:9" x14ac:dyDescent="0.25">
      <c r="D26" s="77" t="str">
        <f>IF(_epmOfflineCondition_,"C_TOTALC", _xll.EPMOlapMemberO("[AUDITTRAIL].[PARENTH1].[C_TOTALC]","","C_TOTALC","","000"))</f>
        <v>C_TOTALC</v>
      </c>
      <c r="E26" s="59" t="str">
        <f>IF(_epmOfflineCondition_,"2 Costi di ricerca sviluppo e pubblicità", _xll.EPMOlapMemberO("[CONTO].[PARENTH2].[RGSP19]","","2 Costi di ricerca sviluppo e pubblicità","","000"))</f>
        <v>2 Costi di ricerca sviluppo e pubblicità</v>
      </c>
      <c r="F26" s="6"/>
      <c r="G26" s="12"/>
      <c r="H26" s="78" t="s">
        <v>74</v>
      </c>
      <c r="I26" s="78" t="s">
        <v>74</v>
      </c>
    </row>
    <row r="27" spans="4:9" x14ac:dyDescent="0.25">
      <c r="D27" s="77" t="str">
        <f>IF(_epmOfflineCondition_,"C_TOTALC", _xll.EPMOlapMemberO("[AUDITTRAIL].[PARENTH1].[C_TOTALC]","","C_TOTALC","","000"))</f>
        <v>C_TOTALC</v>
      </c>
      <c r="E27" s="59" t="str">
        <f>IF(_epmOfflineCondition_,"3 Diritti di brevetto ed utilizzazione opere", _xll.EPMOlapMemberO("[CONTO].[PARENTH2].[RGSP20]","","3 Diritti di brevetto ed utilizzazione opere","","000"))</f>
        <v>3 Diritti di brevetto ed utilizzazione opere</v>
      </c>
      <c r="F27" s="6">
        <v>69144463.930000007</v>
      </c>
      <c r="G27" s="12">
        <v>67404243.930000007</v>
      </c>
      <c r="H27" s="78" t="s">
        <v>75</v>
      </c>
      <c r="I27" s="78" t="s">
        <v>75</v>
      </c>
    </row>
    <row r="28" spans="4:9" x14ac:dyDescent="0.25">
      <c r="D28" s="77" t="str">
        <f>IF(_epmOfflineCondition_,"C_TOTALC", _xll.EPMOlapMemberO("[AUDITTRAIL].[PARENTH1].[C_TOTALC]","","C_TOTALC","","000"))</f>
        <v>C_TOTALC</v>
      </c>
      <c r="E28" s="59" t="str">
        <f>IF(_epmOfflineCondition_,"4 Concessioni", _xll.EPMOlapMemberO("[CONTO].[PARENTH2].[RGSP21]","","4 Concessioni","","000"))</f>
        <v>4 Concessioni</v>
      </c>
      <c r="F28" s="6">
        <v>2370049.9500000002</v>
      </c>
      <c r="G28" s="12">
        <v>1781939.62</v>
      </c>
      <c r="H28" s="78" t="s">
        <v>76</v>
      </c>
      <c r="I28" s="78" t="s">
        <v>76</v>
      </c>
    </row>
    <row r="29" spans="4:9" x14ac:dyDescent="0.25">
      <c r="D29" s="77" t="str">
        <f>IF(_epmOfflineCondition_,"C_TOTALC", _xll.EPMOlapMemberO("[AUDITTRAIL].[PARENTH1].[C_TOTALC]","","C_TOTALC","","000"))</f>
        <v>C_TOTALC</v>
      </c>
      <c r="E29" s="59" t="str">
        <f>IF(_epmOfflineCondition_,"5 Avviamento", _xll.EPMOlapMemberO("[CONTO].[PARENTH2].[RGSP22]","","5 Avviamento","","000"))</f>
        <v>5 Avviamento</v>
      </c>
      <c r="F29" s="6">
        <v>285419</v>
      </c>
      <c r="G29" s="12">
        <v>114169.85</v>
      </c>
      <c r="H29" s="78" t="s">
        <v>77</v>
      </c>
      <c r="I29" s="78" t="s">
        <v>77</v>
      </c>
    </row>
    <row r="30" spans="4:9" x14ac:dyDescent="0.25">
      <c r="D30" s="77" t="str">
        <f>IF(_epmOfflineCondition_,"C_TOTALC", _xll.EPMOlapMemberO("[AUDITTRAIL].[PARENTH1].[C_TOTALC]","","C_TOTALC","","000"))</f>
        <v>C_TOTALC</v>
      </c>
      <c r="E30" s="59" t="str">
        <f>IF(_epmOfflineCondition_,"6 Immobilizzazioni in corso ed acconti", _xll.EPMOlapMemberO("[CONTO].[PARENTH2].[RGSP23]","","6 Immobilizzazioni in corso ed acconti","","000"))</f>
        <v>6 Immobilizzazioni in corso ed acconti</v>
      </c>
      <c r="F30" s="6">
        <v>168143121.47</v>
      </c>
      <c r="G30" s="12">
        <v>109089187.44</v>
      </c>
      <c r="H30" s="78" t="s">
        <v>78</v>
      </c>
      <c r="I30" s="78" t="s">
        <v>78</v>
      </c>
    </row>
    <row r="31" spans="4:9" x14ac:dyDescent="0.25">
      <c r="D31" s="77" t="str">
        <f>IF(_epmOfflineCondition_,"C_TOTALC", _xll.EPMOlapMemberO("[AUDITTRAIL].[PARENTH1].[C_TOTALC]","","C_TOTALC","","000"))</f>
        <v>C_TOTALC</v>
      </c>
      <c r="E31" s="59" t="str">
        <f>IF(_epmOfflineCondition_,"9 Altre", _xll.EPMOlapMemberO("[CONTO].[PARENTH2].[RGSP24]","","9 Altre","","000"))</f>
        <v>9 Altre</v>
      </c>
      <c r="F31" s="6">
        <v>303536582.32999998</v>
      </c>
      <c r="G31" s="12">
        <v>324354038.97000003</v>
      </c>
      <c r="H31" s="78" t="s">
        <v>79</v>
      </c>
      <c r="I31" s="78" t="s">
        <v>79</v>
      </c>
    </row>
    <row r="32" spans="4:9" x14ac:dyDescent="0.25">
      <c r="D32" s="71" t="str">
        <f>IF(_epmOfflineCondition_,"C_TOTALC", _xll.EPMOlapMemberO("[AUDITTRAIL].[PARENTH1].[C_TOTALC]","","C_TOTALC","","000"))</f>
        <v>C_TOTALC</v>
      </c>
      <c r="E32" s="49" t="str">
        <f>IF(_epmOfflineCondition_,"Totale Immobilizazioni Immateriali", _xll.EPMOlapMemberO("[CONTO].[PARENTH2].[RGSP15]","","Totale Immobilizazioni Immateriali","","000"))</f>
        <v>Totale Immobilizazioni Immateriali</v>
      </c>
      <c r="F32" s="4">
        <v>544242408.03999996</v>
      </c>
      <c r="G32" s="16">
        <v>504032085.52999997</v>
      </c>
      <c r="H32" s="70"/>
      <c r="I32" s="70"/>
    </row>
    <row r="33" spans="4:9" x14ac:dyDescent="0.25">
      <c r="D33" s="72"/>
      <c r="E33" s="50"/>
      <c r="F33" s="7"/>
      <c r="G33" s="17"/>
      <c r="H33" s="74"/>
      <c r="I33" s="74"/>
    </row>
    <row r="34" spans="4:9" x14ac:dyDescent="0.25">
      <c r="D34" s="72"/>
      <c r="E34" s="75" t="s">
        <v>52</v>
      </c>
      <c r="F34" s="18"/>
      <c r="G34" s="19"/>
      <c r="H34" s="76"/>
      <c r="I34" s="76"/>
    </row>
    <row r="35" spans="4:9" x14ac:dyDescent="0.25">
      <c r="D35" s="77" t="str">
        <f>IF(_epmOfflineCondition_,"C_TOTALC", _xll.EPMOlapMemberO("[AUDITTRAIL].[PARENTH1].[C_TOTALC]","","C_TOTALC","","000"))</f>
        <v>C_TOTALC</v>
      </c>
      <c r="E35" s="59" t="str">
        <f>IF(_epmOfflineCondition_,"II 1 Beni demaniali", _xll.EPMOlapMemberO("[CONTO].[PARENTH2].[RGSP25]","","II 1 Beni demaniali","","000"))</f>
        <v>II 1 Beni demaniali</v>
      </c>
      <c r="F35" s="6">
        <v>337480944.31999999</v>
      </c>
      <c r="G35" s="12">
        <v>339459613.63999999</v>
      </c>
      <c r="H35" s="78"/>
      <c r="I35" s="78"/>
    </row>
    <row r="36" spans="4:9" x14ac:dyDescent="0.25">
      <c r="D36" s="77" t="str">
        <f>IF(_epmOfflineCondition_,"C_TOTALC", _xll.EPMOlapMemberO("[AUDITTRAIL].[PARENTH1].[C_TOTALC]","","C_TOTALC","","000"))</f>
        <v>C_TOTALC</v>
      </c>
      <c r="E36" s="59" t="str">
        <f>IF(_epmOfflineCondition_,"1.1 Terreni", _xll.EPMOlapMemberO("[CONTO].[PARENTH2].[RGSP31]","","1.1 Terreni","","000"))</f>
        <v>1.1 Terreni</v>
      </c>
      <c r="F36" s="6">
        <v>38445716.840000004</v>
      </c>
      <c r="G36" s="12">
        <v>37912792.829999998</v>
      </c>
      <c r="H36" s="78"/>
      <c r="I36" s="78"/>
    </row>
    <row r="37" spans="4:9" x14ac:dyDescent="0.25">
      <c r="D37" s="77" t="str">
        <f>IF(_epmOfflineCondition_,"C_TOTALC", _xll.EPMOlapMemberO("[AUDITTRAIL].[PARENTH1].[C_TOTALC]","","C_TOTALC","","000"))</f>
        <v>C_TOTALC</v>
      </c>
      <c r="E37" s="59" t="str">
        <f>IF(_epmOfflineCondition_,"1.2 Fabbricati", _xll.EPMOlapMemberO("[CONTO].[PARENTH2].[RGSP32]","","1.2 Fabbricati","","000"))</f>
        <v>1.2 Fabbricati</v>
      </c>
      <c r="F37" s="6">
        <v>221592858.36000001</v>
      </c>
      <c r="G37" s="12">
        <v>224470714.61000001</v>
      </c>
      <c r="H37" s="78"/>
      <c r="I37" s="78"/>
    </row>
    <row r="38" spans="4:9" x14ac:dyDescent="0.25">
      <c r="D38" s="77" t="str">
        <f>IF(_epmOfflineCondition_,"C_TOTALC", _xll.EPMOlapMemberO("[AUDITTRAIL].[PARENTH1].[C_TOTALC]","","C_TOTALC","","000"))</f>
        <v>C_TOTALC</v>
      </c>
      <c r="E38" s="59" t="str">
        <f>IF(_epmOfflineCondition_,"1.3 Infrastrutture", _xll.EPMOlapMemberO("[CONTO].[PARENTH2].[RGSP33]","","1.3 Infrastrutture","","000"))</f>
        <v>1.3 Infrastrutture</v>
      </c>
      <c r="F38" s="6">
        <v>77442369.120000005</v>
      </c>
      <c r="G38" s="12">
        <v>77076106.200000003</v>
      </c>
      <c r="H38" s="78"/>
      <c r="I38" s="78"/>
    </row>
    <row r="39" spans="4:9" x14ac:dyDescent="0.25">
      <c r="D39" s="77" t="str">
        <f>IF(_epmOfflineCondition_,"C_TOTALC", _xll.EPMOlapMemberO("[AUDITTRAIL].[PARENTH1].[C_TOTALC]","","C_TOTALC","","000"))</f>
        <v>C_TOTALC</v>
      </c>
      <c r="E39" s="59" t="str">
        <f>IF(_epmOfflineCondition_,"1.9 Altri beni demaniali", _xll.EPMOlapMemberO("[CONTO].[PARENTH2].[RGSP34]","","1.9 Altri beni demaniali","","000"))</f>
        <v>1.9 Altri beni demaniali</v>
      </c>
      <c r="F39" s="6"/>
      <c r="G39" s="12"/>
      <c r="H39" s="78"/>
      <c r="I39" s="78"/>
    </row>
    <row r="40" spans="4:9" x14ac:dyDescent="0.25">
      <c r="D40" s="77" t="str">
        <f>IF(_epmOfflineCondition_,"C_TOTALC", _xll.EPMOlapMemberO("[AUDITTRAIL].[PARENTH1].[C_TOTALC]","","C_TOTALC","","000"))</f>
        <v>C_TOTALC</v>
      </c>
      <c r="E40" s="59" t="str">
        <f>IF(_epmOfflineCondition_,"2 Altre immobilizzazioni materiali", _xll.EPMOlapMemberO("[CONTO].[PARENTH2].[RGSP27]","","2 Altre immobilizzazioni materiali","","000"))</f>
        <v>2 Altre immobilizzazioni materiali</v>
      </c>
      <c r="F40" s="6">
        <v>2759760650.5700002</v>
      </c>
      <c r="G40" s="12">
        <v>2651896462.3299999</v>
      </c>
      <c r="H40" s="78"/>
      <c r="I40" s="78"/>
    </row>
    <row r="41" spans="4:9" x14ac:dyDescent="0.25">
      <c r="D41" s="79" t="str">
        <f>IF(_epmOfflineCondition_,"C_TOTALC", _xll.EPMOlapMemberO("[AUDITTRAIL].[PARENTH1].[C_TOTALC]","","C_TOTALC","","000"))</f>
        <v>C_TOTALC</v>
      </c>
      <c r="E41" s="46" t="str">
        <f>IF(_epmOfflineCondition_,"2.1 Terreni", _xll.EPMOlapMemberO("[CONTO].[PARENTH2].[RGSP35]","","2.1 Terreni","","000"))</f>
        <v>2.1 Terreni</v>
      </c>
      <c r="F41" s="6">
        <v>114327919.89</v>
      </c>
      <c r="G41" s="12">
        <v>95885104.219999999</v>
      </c>
      <c r="H41" s="78" t="s">
        <v>80</v>
      </c>
      <c r="I41" s="78" t="s">
        <v>80</v>
      </c>
    </row>
    <row r="42" spans="4:9" x14ac:dyDescent="0.25">
      <c r="D42" s="77" t="str">
        <f>IF(_epmOfflineCondition_,"C_TOTALC", _xll.EPMOlapMemberO("[AUDITTRAIL].[PARENTH1].[C_TOTALC]","","C_TOTALC","","000"))</f>
        <v>C_TOTALC</v>
      </c>
      <c r="E42" s="59" t="str">
        <f>IF(_epmOfflineCondition_,"a di cui in leasing finanziario", _xll.EPMOlapMemberO("[CONTO].[PARENTH2].[RGSP52]","","a di cui in leasing finanziario","","000"))</f>
        <v>a di cui in leasing finanziario</v>
      </c>
      <c r="F42" s="6"/>
      <c r="G42" s="12"/>
      <c r="H42" s="78"/>
      <c r="I42" s="78"/>
    </row>
    <row r="43" spans="4:9" x14ac:dyDescent="0.25">
      <c r="D43" s="79" t="str">
        <f>IF(_epmOfflineCondition_,"C_TOTALC", _xll.EPMOlapMemberO("[AUDITTRAIL].[PARENTH1].[C_TOTALC]","","C_TOTALC","","000"))</f>
        <v>C_TOTALC</v>
      </c>
      <c r="E43" s="46" t="str">
        <f>IF(_epmOfflineCondition_,"2.2 Fabbricati", _xll.EPMOlapMemberO("[CONTO].[PARENTH2].[RGSP36]","","2.2 Fabbricati","","000"))</f>
        <v>2.2 Fabbricati</v>
      </c>
      <c r="F43" s="6">
        <v>2144204038.2</v>
      </c>
      <c r="G43" s="12">
        <v>2154947436.8800001</v>
      </c>
      <c r="H43" s="78"/>
      <c r="I43" s="78"/>
    </row>
    <row r="44" spans="4:9" x14ac:dyDescent="0.25">
      <c r="D44" s="77" t="str">
        <f>IF(_epmOfflineCondition_,"C_TOTALC", _xll.EPMOlapMemberO("[AUDITTRAIL].[PARENTH1].[C_TOTALC]","","C_TOTALC","","000"))</f>
        <v>C_TOTALC</v>
      </c>
      <c r="E44" s="59" t="str">
        <f>IF(_epmOfflineCondition_,"a di cui in leasing finanziario", _xll.EPMOlapMemberO("[CONTO].[PARENTH2].[RGSP53]","","a di cui in leasing finanziario","","000"))</f>
        <v>a di cui in leasing finanziario</v>
      </c>
      <c r="F44" s="6"/>
      <c r="G44" s="12"/>
      <c r="H44" s="78"/>
      <c r="I44" s="78"/>
    </row>
    <row r="45" spans="4:9" x14ac:dyDescent="0.25">
      <c r="D45" s="79" t="str">
        <f>IF(_epmOfflineCondition_,"C_TOTALC", _xll.EPMOlapMemberO("[AUDITTRAIL].[PARENTH1].[C_TOTALC]","","C_TOTALC","","000"))</f>
        <v>C_TOTALC</v>
      </c>
      <c r="E45" s="46" t="str">
        <f>IF(_epmOfflineCondition_,"2.3 Impianti e macchinari", _xll.EPMOlapMemberO("[CONTO].[PARENTH2].[RGSP37]","","2.3 Impianti e macchinari","","000"))</f>
        <v>2.3 Impianti e macchinari</v>
      </c>
      <c r="F45" s="6">
        <v>18995585.640000001</v>
      </c>
      <c r="G45" s="12">
        <v>13763811.939999999</v>
      </c>
      <c r="H45" s="78" t="s">
        <v>81</v>
      </c>
      <c r="I45" s="78" t="s">
        <v>81</v>
      </c>
    </row>
    <row r="46" spans="4:9" x14ac:dyDescent="0.25">
      <c r="D46" s="77" t="str">
        <f>IF(_epmOfflineCondition_,"C_TOTALC", _xll.EPMOlapMemberO("[AUDITTRAIL].[PARENTH1].[C_TOTALC]","","C_TOTALC","","000"))</f>
        <v>C_TOTALC</v>
      </c>
      <c r="E46" s="59" t="str">
        <f>IF(_epmOfflineCondition_,"a di cui in leasing finanziario", _xll.EPMOlapMemberO("[CONTO].[PARENTH2].[RGSP54]","","a di cui in leasing finanziario","","000"))</f>
        <v>a di cui in leasing finanziario</v>
      </c>
      <c r="F46" s="6"/>
      <c r="G46" s="12"/>
      <c r="H46" s="78"/>
      <c r="I46" s="78"/>
    </row>
    <row r="47" spans="4:9" x14ac:dyDescent="0.25">
      <c r="D47" s="79" t="str">
        <f>IF(_epmOfflineCondition_,"C_TOTALC", _xll.EPMOlapMemberO("[AUDITTRAIL].[PARENTH1].[C_TOTALC]","","C_TOTALC","","000"))</f>
        <v>C_TOTALC</v>
      </c>
      <c r="E47" s="46" t="str">
        <f>IF(_epmOfflineCondition_,"2.4 Attrezzature industriali e commerciali", _xll.EPMOlapMemberO("[CONTO].[PARENTH2].[RGSP38]","","2.4 Attrezzature industriali e commerciali","","000"))</f>
        <v>2.4 Attrezzature industriali e commerciali</v>
      </c>
      <c r="F47" s="6">
        <v>64842787.939999998</v>
      </c>
      <c r="G47" s="12">
        <v>69595835.239999995</v>
      </c>
      <c r="H47" s="78" t="s">
        <v>82</v>
      </c>
      <c r="I47" s="78" t="s">
        <v>82</v>
      </c>
    </row>
    <row r="48" spans="4:9" x14ac:dyDescent="0.25">
      <c r="D48" s="79" t="str">
        <f>IF(_epmOfflineCondition_,"C_TOTALC", _xll.EPMOlapMemberO("[AUDITTRAIL].[PARENTH1].[C_TOTALC]","","C_TOTALC","","000"))</f>
        <v>C_TOTALC</v>
      </c>
      <c r="E48" s="46" t="str">
        <f>IF(_epmOfflineCondition_,"2.5 Mezzi di trasporto", _xll.EPMOlapMemberO("[CONTO].[PARENTH2].[RGSP39]","","2.5 Mezzi di trasporto","","000"))</f>
        <v>2.5 Mezzi di trasporto</v>
      </c>
      <c r="F48" s="6">
        <v>377151742.70999998</v>
      </c>
      <c r="G48" s="12">
        <v>280498401.44</v>
      </c>
      <c r="H48" s="78"/>
      <c r="I48" s="78"/>
    </row>
    <row r="49" spans="4:9" x14ac:dyDescent="0.25">
      <c r="D49" s="79" t="str">
        <f>IF(_epmOfflineCondition_,"C_TOTALC", _xll.EPMOlapMemberO("[AUDITTRAIL].[PARENTH1].[C_TOTALC]","","C_TOTALC","","000"))</f>
        <v>C_TOTALC</v>
      </c>
      <c r="E49" s="46" t="str">
        <f>IF(_epmOfflineCondition_,"2.6 Macchine per ufficio e hardware", _xll.EPMOlapMemberO("[CONTO].[PARENTH2].[RGSP40]","","2.6 Macchine per ufficio e hardware","","000"))</f>
        <v>2.6 Macchine per ufficio e hardware</v>
      </c>
      <c r="F49" s="6">
        <v>9401210.4800000004</v>
      </c>
      <c r="G49" s="12">
        <v>5951836.4800000004</v>
      </c>
      <c r="H49" s="78"/>
      <c r="I49" s="78"/>
    </row>
    <row r="50" spans="4:9" x14ac:dyDescent="0.25">
      <c r="D50" s="79" t="str">
        <f>IF(_epmOfflineCondition_,"C_TOTALC", _xll.EPMOlapMemberO("[AUDITTRAIL].[PARENTH1].[C_TOTALC]","","C_TOTALC","","000"))</f>
        <v>C_TOTALC</v>
      </c>
      <c r="E50" s="46" t="str">
        <f>IF(_epmOfflineCondition_,"2.7 Mobili e arredi", _xll.EPMOlapMemberO("[CONTO].[PARENTH2].[RGSP42]","","2.7 Mobili e arredi","","000"))</f>
        <v>2.7 Mobili e arredi</v>
      </c>
      <c r="F50" s="6">
        <v>2955586.99</v>
      </c>
      <c r="G50" s="12">
        <v>2784250.43</v>
      </c>
      <c r="H50" s="78"/>
      <c r="I50" s="78"/>
    </row>
    <row r="51" spans="4:9" x14ac:dyDescent="0.25">
      <c r="D51" s="79" t="str">
        <f>IF(_epmOfflineCondition_,"C_TOTALC", _xll.EPMOlapMemberO("[AUDITTRAIL].[PARENTH1].[C_TOTALC]","","C_TOTALC","","000"))</f>
        <v>C_TOTALC</v>
      </c>
      <c r="E51" s="46" t="str">
        <f>IF(_epmOfflineCondition_,"2.8 Infrastrutture", _xll.EPMOlapMemberO("[CONTO].[PARENTH2].[RGSP43]","","2.8 Infrastrutture","","000"))</f>
        <v>2.8 Infrastrutture</v>
      </c>
      <c r="F51" s="6">
        <v>2528808.2599999998</v>
      </c>
      <c r="G51" s="12">
        <v>2528808.2599999998</v>
      </c>
      <c r="H51" s="78"/>
      <c r="I51" s="78"/>
    </row>
    <row r="52" spans="4:9" x14ac:dyDescent="0.25">
      <c r="D52" s="79" t="str">
        <f>IF(_epmOfflineCondition_,"C_TOTALC", _xll.EPMOlapMemberO("[AUDITTRAIL].[PARENTH1].[C_TOTALC]","","C_TOTALC","","000"))</f>
        <v>C_TOTALC</v>
      </c>
      <c r="E52" s="46" t="str">
        <f>IF(_epmOfflineCondition_,"2.99 Altri beni materiali", _xll.EPMOlapMemberO("[CONTO].[PARENTH2].[RGSP44]","","2.99 Altri beni materiali","","000"))</f>
        <v>2.99 Altri beni materiali</v>
      </c>
      <c r="F52" s="6">
        <v>25352970.460000001</v>
      </c>
      <c r="G52" s="12">
        <v>25940977.440000001</v>
      </c>
      <c r="H52" s="78"/>
      <c r="I52" s="78"/>
    </row>
    <row r="53" spans="4:9" x14ac:dyDescent="0.25">
      <c r="D53" s="77" t="str">
        <f>IF(_epmOfflineCondition_,"C_TOTALC", _xll.EPMOlapMemberO("[AUDITTRAIL].[PARENTH1].[C_TOTALC]","","C_TOTALC","","000"))</f>
        <v>C_TOTALC</v>
      </c>
      <c r="E53" s="59" t="str">
        <f>IF(_epmOfflineCondition_,"3 Immobilizzazioni in corso ed acconti", _xll.EPMOlapMemberO("[CONTO].[PARENTH2].[RGSP28]","","3 Immobilizzazioni in corso ed acconti","","000"))</f>
        <v>3 Immobilizzazioni in corso ed acconti</v>
      </c>
      <c r="F53" s="6">
        <v>1060354639.73</v>
      </c>
      <c r="G53" s="12">
        <v>962547058.17999995</v>
      </c>
      <c r="H53" s="78" t="s">
        <v>83</v>
      </c>
      <c r="I53" s="78" t="s">
        <v>83</v>
      </c>
    </row>
    <row r="54" spans="4:9" x14ac:dyDescent="0.25">
      <c r="D54" s="71" t="str">
        <f>IF(_epmOfflineCondition_,"C_TOTALC", _xll.EPMOlapMemberO("[AUDITTRAIL].[PARENTH1].[C_TOTALC]","","C_TOTALC","","000"))</f>
        <v>C_TOTALC</v>
      </c>
      <c r="E54" s="49" t="str">
        <f>IF(_epmOfflineCondition_,"Totale Immobilizzazioni Materiali", _xll.EPMOlapMemberO("[CONTO].[PARENTH2].[RGSP16]","","Totale Immobilizzazioni Materiali","","000"))</f>
        <v>Totale Immobilizzazioni Materiali</v>
      </c>
      <c r="F54" s="4">
        <v>4157596234.6199999</v>
      </c>
      <c r="G54" s="16">
        <v>3953903134.1500001</v>
      </c>
      <c r="H54" s="70"/>
      <c r="I54" s="70"/>
    </row>
    <row r="55" spans="4:9" x14ac:dyDescent="0.25">
      <c r="D55" s="72"/>
      <c r="E55" s="50"/>
      <c r="F55" s="7"/>
      <c r="G55" s="17"/>
      <c r="H55" s="74"/>
      <c r="I55" s="74"/>
    </row>
    <row r="56" spans="4:9" x14ac:dyDescent="0.25">
      <c r="D56" s="72"/>
      <c r="E56" s="75" t="s">
        <v>53</v>
      </c>
      <c r="F56" s="18"/>
      <c r="G56" s="19"/>
      <c r="H56" s="76"/>
      <c r="I56" s="76"/>
    </row>
    <row r="57" spans="4:9" x14ac:dyDescent="0.25">
      <c r="D57" s="77" t="str">
        <f>IF(_epmOfflineCondition_,"C_TOTALC", _xll.EPMOlapMemberO("[AUDITTRAIL].[PARENTH1].[C_TOTALC]","","C_TOTALC","","000"))</f>
        <v>C_TOTALC</v>
      </c>
      <c r="E57" s="59" t="str">
        <f>IF(_epmOfflineCondition_,"1 Partecipazioni in", _xll.EPMOlapMemberO("[CONTO].[PARENTH2].[RGSP29]","","1 Partecipazioni in","","000"))</f>
        <v>1 Partecipazioni in</v>
      </c>
      <c r="F57" s="6">
        <v>33951419.109999999</v>
      </c>
      <c r="G57" s="12">
        <v>36528175.140000001</v>
      </c>
      <c r="H57" s="78" t="s">
        <v>84</v>
      </c>
      <c r="I57" s="78" t="s">
        <v>84</v>
      </c>
    </row>
    <row r="58" spans="4:9" x14ac:dyDescent="0.25">
      <c r="D58" s="77" t="str">
        <f>IF(_epmOfflineCondition_,"C_TOTALC", _xll.EPMOlapMemberO("[AUDITTRAIL].[PARENTH1].[C_TOTALC]","","C_TOTALC","","000"))</f>
        <v>C_TOTALC</v>
      </c>
      <c r="E58" s="59" t="str">
        <f>IF(_epmOfflineCondition_,"a imprese controllate", _xll.EPMOlapMemberO("[CONTO].[PARENTH2].[RGSP45]","","a imprese controllate","","000"))</f>
        <v>a imprese controllate</v>
      </c>
      <c r="F58" s="6">
        <v>3114006.14</v>
      </c>
      <c r="G58" s="12">
        <v>3868925.5</v>
      </c>
      <c r="H58" s="78" t="s">
        <v>85</v>
      </c>
      <c r="I58" s="78" t="s">
        <v>85</v>
      </c>
    </row>
    <row r="59" spans="4:9" x14ac:dyDescent="0.25">
      <c r="D59" s="77" t="str">
        <f>IF(_epmOfflineCondition_,"C_TOTALC", _xll.EPMOlapMemberO("[AUDITTRAIL].[PARENTH1].[C_TOTALC]","","C_TOTALC","","000"))</f>
        <v>C_TOTALC</v>
      </c>
      <c r="E59" s="59" t="str">
        <f>IF(_epmOfflineCondition_,"b imprese partecipate", _xll.EPMOlapMemberO("[CONTO].[PARENTH2].[RGSP46]","","b imprese partecipate","","000"))</f>
        <v>b imprese partecipate</v>
      </c>
      <c r="F59" s="6">
        <v>30737031.969999999</v>
      </c>
      <c r="G59" s="12">
        <v>32568079.050000001</v>
      </c>
      <c r="H59" s="78" t="s">
        <v>86</v>
      </c>
      <c r="I59" s="78" t="s">
        <v>86</v>
      </c>
    </row>
    <row r="60" spans="4:9" x14ac:dyDescent="0.25">
      <c r="D60" s="77" t="str">
        <f>IF(_epmOfflineCondition_,"C_TOTALC", _xll.EPMOlapMemberO("[AUDITTRAIL].[PARENTH1].[C_TOTALC]","","C_TOTALC","","000"))</f>
        <v>C_TOTALC</v>
      </c>
      <c r="E60" s="59" t="str">
        <f>IF(_epmOfflineCondition_,"c altri soggetti", _xll.EPMOlapMemberO("[CONTO].[PARENTH2].[RGSP47]","","c altri soggetti","","000"))</f>
        <v>c altri soggetti</v>
      </c>
      <c r="F60" s="6">
        <v>100381</v>
      </c>
      <c r="G60" s="12">
        <v>91170.59</v>
      </c>
      <c r="H60" s="78"/>
      <c r="I60" s="78"/>
    </row>
    <row r="61" spans="4:9" x14ac:dyDescent="0.25">
      <c r="D61" s="77" t="str">
        <f>IF(_epmOfflineCondition_,"C_TOTALC", _xll.EPMOlapMemberO("[AUDITTRAIL].[PARENTH1].[C_TOTALC]","","C_TOTALC","","000"))</f>
        <v>C_TOTALC</v>
      </c>
      <c r="E61" s="59" t="str">
        <f>IF(_epmOfflineCondition_,"2 Crediti verso", _xll.EPMOlapMemberO("[CONTO].[PARENTH2].[RGSP30]","","2 Crediti verso","","000"))</f>
        <v>2 Crediti verso</v>
      </c>
      <c r="F61" s="6">
        <v>247737484.41</v>
      </c>
      <c r="G61" s="12">
        <v>205150722.21000001</v>
      </c>
      <c r="H61" s="78" t="s">
        <v>87</v>
      </c>
      <c r="I61" s="78" t="s">
        <v>87</v>
      </c>
    </row>
    <row r="62" spans="4:9" x14ac:dyDescent="0.25">
      <c r="D62" s="77" t="str">
        <f>IF(_epmOfflineCondition_,"C_TOTALC", _xll.EPMOlapMemberO("[AUDITTRAIL].[PARENTH1].[C_TOTALC]","","C_TOTALC","","000"))</f>
        <v>C_TOTALC</v>
      </c>
      <c r="E62" s="59" t="str">
        <f>IF(_epmOfflineCondition_,"a altre amministrazioni pubbliche", _xll.EPMOlapMemberO("[CONTO].[PARENTH2].[RGSP48]","","a altre amministrazioni pubbliche","","000"))</f>
        <v>a altre amministrazioni pubbliche</v>
      </c>
      <c r="F62" s="6">
        <v>40995156.950000003</v>
      </c>
      <c r="G62" s="12">
        <v>13099321.119999999</v>
      </c>
      <c r="H62" s="78"/>
      <c r="I62" s="78"/>
    </row>
    <row r="63" spans="4:9" x14ac:dyDescent="0.25">
      <c r="D63" s="77" t="str">
        <f>IF(_epmOfflineCondition_,"C_TOTALC", _xll.EPMOlapMemberO("[AUDITTRAIL].[PARENTH1].[C_TOTALC]","","C_TOTALC","","000"))</f>
        <v>C_TOTALC</v>
      </c>
      <c r="E63" s="59" t="str">
        <f>IF(_epmOfflineCondition_,"b imprese controllate", _xll.EPMOlapMemberO("[CONTO].[PARENTH2].[RGSP49]","","b imprese controllate","","000"))</f>
        <v>b imprese controllate</v>
      </c>
      <c r="F63" s="6">
        <v>0</v>
      </c>
      <c r="G63" s="12">
        <v>0</v>
      </c>
      <c r="H63" s="78" t="s">
        <v>88</v>
      </c>
      <c r="I63" s="78" t="s">
        <v>88</v>
      </c>
    </row>
    <row r="64" spans="4:9" x14ac:dyDescent="0.25">
      <c r="D64" s="77" t="str">
        <f>IF(_epmOfflineCondition_,"C_TOTALC", _xll.EPMOlapMemberO("[AUDITTRAIL].[PARENTH1].[C_TOTALC]","","C_TOTALC","","000"))</f>
        <v>C_TOTALC</v>
      </c>
      <c r="E64" s="59" t="str">
        <f>IF(_epmOfflineCondition_,"c imprese  partecipate", _xll.EPMOlapMemberO("[CONTO].[PARENTH2].[RGSP50]","","c imprese  partecipate","","000"))</f>
        <v>c imprese  partecipate</v>
      </c>
      <c r="F64" s="6"/>
      <c r="G64" s="12"/>
      <c r="H64" s="78" t="s">
        <v>89</v>
      </c>
      <c r="I64" s="78" t="s">
        <v>89</v>
      </c>
    </row>
    <row r="65" spans="4:9" x14ac:dyDescent="0.25">
      <c r="D65" s="77" t="str">
        <f>IF(_epmOfflineCondition_,"C_TOTALC", _xll.EPMOlapMemberO("[AUDITTRAIL].[PARENTH1].[C_TOTALC]","","C_TOTALC","","000"))</f>
        <v>C_TOTALC</v>
      </c>
      <c r="E65" s="59" t="str">
        <f>IF(_epmOfflineCondition_,"d altri soggetti", _xll.EPMOlapMemberO("[CONTO].[PARENTH2].[RGSP51]","","d altri soggetti","","000"))</f>
        <v>d altri soggetti</v>
      </c>
      <c r="F65" s="6">
        <v>206742327.46000001</v>
      </c>
      <c r="G65" s="12">
        <v>192051401.09</v>
      </c>
      <c r="H65" s="78" t="s">
        <v>90</v>
      </c>
      <c r="I65" s="78" t="s">
        <v>91</v>
      </c>
    </row>
    <row r="66" spans="4:9" x14ac:dyDescent="0.25">
      <c r="D66" s="77" t="str">
        <f>IF(_epmOfflineCondition_,"C_TOTALC", _xll.EPMOlapMemberO("[AUDITTRAIL].[PARENTH1].[C_TOTALC]","","C_TOTALC","","000"))</f>
        <v>C_TOTALC</v>
      </c>
      <c r="E66" s="59" t="str">
        <f>IF(_epmOfflineCondition_,"3 Altri titoli", _xll.EPMOlapMemberO("[CONTO].[PARENTH2].[RGSP41]","","3 Altri titoli","","000"))</f>
        <v>3 Altri titoli</v>
      </c>
      <c r="F66" s="6">
        <v>1319625</v>
      </c>
      <c r="G66" s="12">
        <v>1148710</v>
      </c>
      <c r="H66" s="78" t="s">
        <v>92</v>
      </c>
      <c r="I66" s="78" t="s">
        <v>92</v>
      </c>
    </row>
    <row r="67" spans="4:9" x14ac:dyDescent="0.25">
      <c r="D67" s="71" t="str">
        <f>IF(_epmOfflineCondition_,"C_TOTALC", _xll.EPMOlapMemberO("[AUDITTRAIL].[PARENTH1].[C_TOTALC]","","C_TOTALC","","000"))</f>
        <v>C_TOTALC</v>
      </c>
      <c r="E67" s="49" t="str">
        <f>IF(_epmOfflineCondition_,"Totale Immobilizzazioni Finanziarie", _xll.EPMOlapMemberO("[CONTO].[PARENTH2].[RGSP17]","","Totale Immobilizzazioni Finanziarie","","000"))</f>
        <v>Totale Immobilizzazioni Finanziarie</v>
      </c>
      <c r="F67" s="4">
        <v>283008528.51999998</v>
      </c>
      <c r="G67" s="16">
        <v>242827607.34999999</v>
      </c>
      <c r="H67" s="70"/>
      <c r="I67" s="70"/>
    </row>
    <row r="68" spans="4:9" x14ac:dyDescent="0.25">
      <c r="D68" s="71" t="str">
        <f>IF(_epmOfflineCondition_,"C_TOTALC", _xll.EPMOlapMemberO("[AUDITTRAIL].[PARENTH1].[C_TOTALC]","","C_TOTALC","","000"))</f>
        <v>C_TOTALC</v>
      </c>
      <c r="E68" s="49" t="str">
        <f>IF(_epmOfflineCondition_,"TOTALE IMMOBILIZZAZIONI (B)", _xll.EPMOlapMemberO("[CONTO].[PARENTH2].[RGSP9]","","TOTALE IMMOBILIZZAZIONI (B)","","000"))</f>
        <v>TOTALE IMMOBILIZZAZIONI (B)</v>
      </c>
      <c r="F68" s="4">
        <v>4984847171.1800003</v>
      </c>
      <c r="G68" s="16">
        <v>4700762827.0299997</v>
      </c>
      <c r="H68" s="70"/>
      <c r="I68" s="70"/>
    </row>
    <row r="69" spans="4:9" x14ac:dyDescent="0.25">
      <c r="D69" s="72"/>
      <c r="E69" s="50"/>
      <c r="F69" s="7"/>
      <c r="G69" s="17"/>
      <c r="H69" s="74"/>
      <c r="I69" s="74"/>
    </row>
    <row r="70" spans="4:9" x14ac:dyDescent="0.25">
      <c r="D70" s="72"/>
      <c r="E70" s="40" t="s">
        <v>54</v>
      </c>
      <c r="F70" s="4"/>
      <c r="G70" s="16"/>
      <c r="H70" s="70"/>
      <c r="I70" s="70"/>
    </row>
    <row r="71" spans="4:9" x14ac:dyDescent="0.25">
      <c r="D71" s="80" t="str">
        <f>IF(_epmOfflineCondition_,"C_TOTALC", _xll.EPMOlapMemberO("[AUDITTRAIL].[PARENTH1].[C_TOTALC]","","C_TOTALC","","000"))</f>
        <v>C_TOTALC</v>
      </c>
      <c r="E71" s="75" t="str">
        <f>IF(_epmOfflineCondition_,"I Rimanenze", _xll.EPMOlapMemberO("[CONTO].[PARENTH2].[RGSP55]","","I Rimanenze","","000"))</f>
        <v>I Rimanenze</v>
      </c>
      <c r="F71" s="20">
        <v>42955924.710000001</v>
      </c>
      <c r="G71" s="20">
        <v>34938943.369999997</v>
      </c>
      <c r="H71" s="81" t="s">
        <v>93</v>
      </c>
      <c r="I71" s="81" t="s">
        <v>93</v>
      </c>
    </row>
    <row r="72" spans="4:9" x14ac:dyDescent="0.25">
      <c r="D72" s="80"/>
      <c r="E72" s="49" t="s">
        <v>94</v>
      </c>
      <c r="F72" s="4">
        <f>+F71</f>
        <v>42955924.710000001</v>
      </c>
      <c r="G72" s="16">
        <f>+G71</f>
        <v>34938943.369999997</v>
      </c>
      <c r="H72" s="82"/>
      <c r="I72" s="82"/>
    </row>
    <row r="73" spans="4:9" x14ac:dyDescent="0.25">
      <c r="D73" s="77"/>
      <c r="E73" s="75" t="s">
        <v>55</v>
      </c>
      <c r="F73" s="21"/>
      <c r="G73" s="22"/>
      <c r="H73" s="83"/>
      <c r="I73" s="83"/>
    </row>
    <row r="74" spans="4:9" x14ac:dyDescent="0.25">
      <c r="D74" s="77" t="str">
        <f>IF(_epmOfflineCondition_,"C_TOTALC", _xll.EPMOlapMemberO("[AUDITTRAIL].[PARENTH1].[C_TOTALC]","","C_TOTALC","","000"))</f>
        <v>C_TOTALC</v>
      </c>
      <c r="E74" s="59" t="str">
        <f>IF(_epmOfflineCondition_,"1 Crediti di natura tributaria", _xll.EPMOlapMemberO("[CONTO].[PARENTH2].[RGSP59]","","1 Crediti di natura tributaria","","000"))</f>
        <v>1 Crediti di natura tributaria</v>
      </c>
      <c r="F74" s="6">
        <v>2241664200.0999999</v>
      </c>
      <c r="G74" s="12">
        <v>1852696679.8299999</v>
      </c>
      <c r="H74" s="78"/>
      <c r="I74" s="78"/>
    </row>
    <row r="75" spans="4:9" x14ac:dyDescent="0.25">
      <c r="D75" s="77" t="str">
        <f>IF(_epmOfflineCondition_,"C_TOTALC", _xll.EPMOlapMemberO("[AUDITTRAIL].[PARENTH1].[C_TOTALC]","","C_TOTALC","","000"))</f>
        <v>C_TOTALC</v>
      </c>
      <c r="E75" s="59" t="str">
        <f>IF(_epmOfflineCondition_,"a Crediti da tributi destinati al finanziame", _xll.EPMOlapMemberO("[CONTO].[PARENTH2].[RGSP69]","","a Crediti da tributi destinati al finanziame","","000"))</f>
        <v>a Crediti da tributi destinati al finanziame</v>
      </c>
      <c r="F75" s="6">
        <v>52014088.600000001</v>
      </c>
      <c r="G75" s="12">
        <v>52014088.549999997</v>
      </c>
      <c r="H75" s="78"/>
      <c r="I75" s="78"/>
    </row>
    <row r="76" spans="4:9" x14ac:dyDescent="0.25">
      <c r="D76" s="77" t="str">
        <f>IF(_epmOfflineCondition_,"C_TOTALC", _xll.EPMOlapMemberO("[AUDITTRAIL].[PARENTH1].[C_TOTALC]","","C_TOTALC","","000"))</f>
        <v>C_TOTALC</v>
      </c>
      <c r="E76" s="59" t="str">
        <f>IF(_epmOfflineCondition_,"b Altri crediti da tributi", _xll.EPMOlapMemberO("[CONTO].[PARENTH2].[RGSP70]","","b Altri crediti da tributi","","000"))</f>
        <v>b Altri crediti da tributi</v>
      </c>
      <c r="F76" s="6">
        <v>842603223.63</v>
      </c>
      <c r="G76" s="12">
        <v>777615179.53999996</v>
      </c>
      <c r="H76" s="78"/>
      <c r="I76" s="78"/>
    </row>
    <row r="77" spans="4:9" x14ac:dyDescent="0.25">
      <c r="D77" s="77" t="str">
        <f>IF(_epmOfflineCondition_,"C_TOTALC", _xll.EPMOlapMemberO("[AUDITTRAIL].[PARENTH1].[C_TOTALC]","","C_TOTALC","","000"))</f>
        <v>C_TOTALC</v>
      </c>
      <c r="E77" s="59" t="str">
        <f>IF(_epmOfflineCondition_,"c Crediti da Fondi perequativi", _xll.EPMOlapMemberO("[CONTO].[PARENTH2].[RGSP71]","","c Crediti da Fondi perequativi","","000"))</f>
        <v>c Crediti da Fondi perequativi</v>
      </c>
      <c r="F77" s="6">
        <v>1347046887.8699999</v>
      </c>
      <c r="G77" s="12">
        <v>1023067411.74</v>
      </c>
      <c r="H77" s="78"/>
      <c r="I77" s="78"/>
    </row>
    <row r="78" spans="4:9" x14ac:dyDescent="0.25">
      <c r="D78" s="77" t="str">
        <f>IF(_epmOfflineCondition_,"C_TOTALC", _xll.EPMOlapMemberO("[AUDITTRAIL].[PARENTH1].[C_TOTALC]","","C_TOTALC","","000"))</f>
        <v>C_TOTALC</v>
      </c>
      <c r="E78" s="59" t="str">
        <f>IF(_epmOfflineCondition_,"2 Crediti per trasferimenti e contributi", _xll.EPMOlapMemberO("[CONTO].[PARENTH2].[RGSP60]","","2 Crediti per trasferimenti e contributi","","000"))</f>
        <v>2 Crediti per trasferimenti e contributi</v>
      </c>
      <c r="F78" s="6">
        <v>6213011096.3400002</v>
      </c>
      <c r="G78" s="12">
        <v>5306259502.6199999</v>
      </c>
      <c r="H78" s="78"/>
      <c r="I78" s="78"/>
    </row>
    <row r="79" spans="4:9" x14ac:dyDescent="0.25">
      <c r="D79" s="77" t="str">
        <f>IF(_epmOfflineCondition_,"C_TOTALC", _xll.EPMOlapMemberO("[AUDITTRAIL].[PARENTH1].[C_TOTALC]","","C_TOTALC","","000"))</f>
        <v>C_TOTALC</v>
      </c>
      <c r="E79" s="59" t="str">
        <f>IF(_epmOfflineCondition_,"a verso amministrazioni pubbliche", _xll.EPMOlapMemberO("[CONTO].[PARENTH2].[RGSP72]","","a verso amministrazioni pubbliche","","000"))</f>
        <v>a verso amministrazioni pubbliche</v>
      </c>
      <c r="F79" s="6">
        <v>5812020677.0100002</v>
      </c>
      <c r="G79" s="12">
        <v>4622315011.3500004</v>
      </c>
      <c r="H79" s="78"/>
      <c r="I79" s="78"/>
    </row>
    <row r="80" spans="4:9" x14ac:dyDescent="0.25">
      <c r="D80" s="77" t="str">
        <f>IF(_epmOfflineCondition_,"C_TOTALC", _xll.EPMOlapMemberO("[AUDITTRAIL].[PARENTH1].[C_TOTALC]","","C_TOTALC","","000"))</f>
        <v>C_TOTALC</v>
      </c>
      <c r="E80" s="59" t="str">
        <f>IF(_epmOfflineCondition_,"b imprese controllate", _xll.EPMOlapMemberO("[CONTO].[PARENTH2].[RGSP73]","","b imprese controllate","","000"))</f>
        <v>b imprese controllate</v>
      </c>
      <c r="F80" s="6"/>
      <c r="G80" s="12"/>
      <c r="H80" s="78"/>
      <c r="I80" s="78"/>
    </row>
    <row r="81" spans="4:9" x14ac:dyDescent="0.25">
      <c r="D81" s="77" t="str">
        <f>IF(_epmOfflineCondition_,"C_TOTALC", _xll.EPMOlapMemberO("[AUDITTRAIL].[PARENTH1].[C_TOTALC]","","C_TOTALC","","000"))</f>
        <v>C_TOTALC</v>
      </c>
      <c r="E81" s="59" t="str">
        <f>IF(_epmOfflineCondition_,"c imprese partecipate", _xll.EPMOlapMemberO("[CONTO].[PARENTH2].[RGSP74]","","c imprese partecipate","","000"))</f>
        <v>c imprese partecipate</v>
      </c>
      <c r="F81" s="6"/>
      <c r="G81" s="12"/>
      <c r="H81" s="78" t="s">
        <v>95</v>
      </c>
      <c r="I81" s="78" t="s">
        <v>95</v>
      </c>
    </row>
    <row r="82" spans="4:9" x14ac:dyDescent="0.25">
      <c r="D82" s="77" t="str">
        <f>IF(_epmOfflineCondition_,"C_TOTALC", _xll.EPMOlapMemberO("[AUDITTRAIL].[PARENTH1].[C_TOTALC]","","C_TOTALC","","000"))</f>
        <v>C_TOTALC</v>
      </c>
      <c r="E82" s="59" t="str">
        <f>IF(_epmOfflineCondition_,"d verso altri soggetti", _xll.EPMOlapMemberO("[CONTO].[PARENTH2].[RGSP75]","","d verso altri soggetti","","000"))</f>
        <v>d verso altri soggetti</v>
      </c>
      <c r="F82" s="6">
        <v>400990419.32999998</v>
      </c>
      <c r="G82" s="12">
        <v>683944491.26999998</v>
      </c>
      <c r="H82" s="78" t="s">
        <v>96</v>
      </c>
      <c r="I82" s="78" t="s">
        <v>96</v>
      </c>
    </row>
    <row r="83" spans="4:9" x14ac:dyDescent="0.25">
      <c r="D83" s="77" t="str">
        <f>IF(_epmOfflineCondition_,"C_TOTALC", _xll.EPMOlapMemberO("[AUDITTRAIL].[PARENTH1].[C_TOTALC]","","C_TOTALC","","000"))</f>
        <v>C_TOTALC</v>
      </c>
      <c r="E83" s="59" t="str">
        <f>IF(_epmOfflineCondition_,"3 Verso clienti ed utenti", _xll.EPMOlapMemberO("[CONTO].[PARENTH2].[RGSP61]","","3 Verso clienti ed utenti","","000"))</f>
        <v>3 Verso clienti ed utenti</v>
      </c>
      <c r="F83" s="6">
        <v>966464088.49272716</v>
      </c>
      <c r="G83" s="12">
        <v>907623455.83000004</v>
      </c>
      <c r="H83" s="78"/>
      <c r="I83" s="78"/>
    </row>
    <row r="84" spans="4:9" x14ac:dyDescent="0.25">
      <c r="D84" s="77" t="str">
        <f>IF(_epmOfflineCondition_,"C_TOTALC", _xll.EPMOlapMemberO("[AUDITTRAIL].[PARENTH1].[C_TOTALC]","","C_TOTALC","","000"))</f>
        <v>C_TOTALC</v>
      </c>
      <c r="E84" s="59" t="str">
        <f>IF(_epmOfflineCondition_,"4 Altri Crediti", _xll.EPMOlapMemberO("[CONTO].[PARENTH2].[RGSP62]","","4 Altri Crediti","","000"))</f>
        <v>4 Altri Crediti</v>
      </c>
      <c r="F84" s="6">
        <v>340747710.95999998</v>
      </c>
      <c r="G84" s="12">
        <v>271414846.05000001</v>
      </c>
      <c r="H84" s="78" t="s">
        <v>97</v>
      </c>
      <c r="I84" s="78" t="s">
        <v>97</v>
      </c>
    </row>
    <row r="85" spans="4:9" x14ac:dyDescent="0.25">
      <c r="D85" s="77" t="str">
        <f>IF(_epmOfflineCondition_,"C_TOTALC", _xll.EPMOlapMemberO("[AUDITTRAIL].[PARENTH1].[C_TOTALC]","","C_TOTALC","","000"))</f>
        <v>C_TOTALC</v>
      </c>
      <c r="E85" s="59" t="str">
        <f>IF(_epmOfflineCondition_,"a verso l'erario", _xll.EPMOlapMemberO("[CONTO].[PARENTH2].[RGSP76]","","a verso l'erario","","000"))</f>
        <v>a verso l'erario</v>
      </c>
      <c r="F85" s="6">
        <v>38673730</v>
      </c>
      <c r="G85" s="12">
        <v>41679051.310000002</v>
      </c>
      <c r="H85" s="78" t="s">
        <v>98</v>
      </c>
      <c r="I85" s="78" t="s">
        <v>98</v>
      </c>
    </row>
    <row r="86" spans="4:9" x14ac:dyDescent="0.25">
      <c r="D86" s="77" t="str">
        <f>IF(_epmOfflineCondition_,"C_TOTALC", _xll.EPMOlapMemberO("[AUDITTRAIL].[PARENTH1].[C_TOTALC]","","C_TOTALC","","000"))</f>
        <v>C_TOTALC</v>
      </c>
      <c r="E86" s="59" t="str">
        <f>IF(_epmOfflineCondition_,"b per attività svolta per c/terzi", _xll.EPMOlapMemberO("[CONTO].[PARENTH2].[RGSP77]","","b per attività svolta per c/terzi","","000"))</f>
        <v>b per attività svolta per c/terzi</v>
      </c>
      <c r="F86" s="6">
        <v>3043402.68</v>
      </c>
      <c r="G86" s="12">
        <v>135934.29999999999</v>
      </c>
      <c r="H86" s="78"/>
      <c r="I86" s="78"/>
    </row>
    <row r="87" spans="4:9" x14ac:dyDescent="0.25">
      <c r="D87" s="77" t="str">
        <f>IF(_epmOfflineCondition_,"C_TOTALC", _xll.EPMOlapMemberO("[AUDITTRAIL].[PARENTH1].[C_TOTALC]","","C_TOTALC","","000"))</f>
        <v>C_TOTALC</v>
      </c>
      <c r="E87" s="59" t="str">
        <f>IF(_epmOfflineCondition_,"c altri", _xll.EPMOlapMemberO("[CONTO].[PARENTH2].[RGSP78]","","c altri","","000"))</f>
        <v>c altri</v>
      </c>
      <c r="F87" s="6">
        <v>299030578.27999997</v>
      </c>
      <c r="G87" s="12">
        <v>229599860.44</v>
      </c>
      <c r="H87" s="78"/>
      <c r="I87" s="78"/>
    </row>
    <row r="88" spans="4:9" x14ac:dyDescent="0.25">
      <c r="D88" s="77" t="str">
        <f>IF(_epmOfflineCondition_,"C_TOTALC", _xll.EPMOlapMemberO("[AUDITTRAIL].[PARENTH1].[C_TOTALC]","","C_TOTALC","","000"))</f>
        <v>C_TOTALC</v>
      </c>
      <c r="E88" s="49" t="str">
        <f>IF(_epmOfflineCondition_,"Totale Crediti", _xll.EPMOlapMemberO("[CONTO].[PARENTH2].[RGSP56]","","Totale Crediti","","000"))</f>
        <v>Totale Crediti</v>
      </c>
      <c r="F88" s="4">
        <v>9761887095.8927288</v>
      </c>
      <c r="G88" s="4">
        <v>8337994484.3299999</v>
      </c>
      <c r="H88" s="78"/>
      <c r="I88" s="78"/>
    </row>
    <row r="89" spans="4:9" x14ac:dyDescent="0.25">
      <c r="D89" s="77"/>
      <c r="E89" s="50"/>
      <c r="F89" s="7"/>
      <c r="G89" s="16"/>
      <c r="H89" s="70"/>
      <c r="I89" s="70"/>
    </row>
    <row r="90" spans="4:9" x14ac:dyDescent="0.25">
      <c r="D90" s="80"/>
      <c r="E90" s="75" t="s">
        <v>56</v>
      </c>
      <c r="F90" s="15"/>
      <c r="G90" s="23"/>
      <c r="H90" s="74"/>
      <c r="I90" s="74"/>
    </row>
    <row r="91" spans="4:9" x14ac:dyDescent="0.25">
      <c r="D91" s="77" t="str">
        <f>IF(_epmOfflineCondition_,"C_TOTALC", _xll.EPMOlapMemberO("[AUDITTRAIL].[PARENTH1].[C_TOTALC]","","C_TOTALC","","000"))</f>
        <v>C_TOTALC</v>
      </c>
      <c r="E91" s="59" t="str">
        <f>IF(_epmOfflineCondition_,"1 Partecipazioni", _xll.EPMOlapMemberO("[CONTO].[PARENTH2].[RGSP63]","","1 Partecipazioni","","000"))</f>
        <v>1 Partecipazioni</v>
      </c>
      <c r="F91" s="6">
        <v>37328</v>
      </c>
      <c r="G91" s="12">
        <v>37328</v>
      </c>
      <c r="H91" s="84"/>
      <c r="I91" s="84"/>
    </row>
    <row r="92" spans="4:9" x14ac:dyDescent="0.25">
      <c r="D92" s="77" t="str">
        <f>IF(_epmOfflineCondition_,"C_TOTALC", _xll.EPMOlapMemberO("[AUDITTRAIL].[PARENTH1].[C_TOTALC]","","C_TOTALC","","000"))</f>
        <v>C_TOTALC</v>
      </c>
      <c r="E92" s="59" t="str">
        <f>IF(_epmOfflineCondition_,"2 Altri titoli", _xll.EPMOlapMemberO("[CONTO].[PARENTH2].[RGSP64]","","2 Altri titoli","","000"))</f>
        <v>2 Altri titoli</v>
      </c>
      <c r="F92" s="6">
        <v>2000000</v>
      </c>
      <c r="G92" s="12">
        <v>2000000</v>
      </c>
      <c r="H92" s="78" t="s">
        <v>99</v>
      </c>
      <c r="I92" s="78" t="s">
        <v>100</v>
      </c>
    </row>
    <row r="93" spans="4:9" x14ac:dyDescent="0.25">
      <c r="D93" s="77" t="str">
        <f>IF(_epmOfflineCondition_,"C_TOTALC", _xll.EPMOlapMemberO("[AUDITTRAIL].[PARENTH1].[C_TOTALC]","","C_TOTALC","","000"))</f>
        <v>C_TOTALC</v>
      </c>
      <c r="E93" s="49" t="str">
        <f>IF(_epmOfflineCondition_,"Totale attività finanziarie che non costituiscono immobilizzazioni", _xll.EPMOlapMemberO("[CONTO].[PARENTH2].[RGSP57]","","Totale attività finanziarie che non costituiscono immobilizzazioni","","000"))</f>
        <v>Totale attività finanziarie che non costituiscono immobilizzazioni</v>
      </c>
      <c r="F93" s="4">
        <v>2037328</v>
      </c>
      <c r="G93" s="4">
        <v>2037328</v>
      </c>
      <c r="H93" s="78" t="s">
        <v>101</v>
      </c>
      <c r="I93" s="78" t="s">
        <v>102</v>
      </c>
    </row>
    <row r="94" spans="4:9" x14ac:dyDescent="0.25">
      <c r="D94" s="77"/>
      <c r="E94" s="50"/>
      <c r="F94" s="7"/>
      <c r="G94" s="16"/>
      <c r="H94" s="70"/>
      <c r="I94" s="70"/>
    </row>
    <row r="95" spans="4:9" x14ac:dyDescent="0.25">
      <c r="D95" s="85"/>
      <c r="E95" s="75" t="s">
        <v>57</v>
      </c>
      <c r="F95" s="3"/>
      <c r="G95" s="24"/>
      <c r="H95" s="74"/>
      <c r="I95" s="74"/>
    </row>
    <row r="96" spans="4:9" x14ac:dyDescent="0.25">
      <c r="D96" s="77" t="str">
        <f>IF(_epmOfflineCondition_,"C_TOTALC", _xll.EPMOlapMemberO("[AUDITTRAIL].[PARENTH1].[C_TOTALC]","","C_TOTALC","","000"))</f>
        <v>C_TOTALC</v>
      </c>
      <c r="E96" s="59" t="str">
        <f>IF(_epmOfflineCondition_,"1 Conto di tesoreria", _xll.EPMOlapMemberO("[CONTO].[PARENTH2].[RGSP65]","","1 Conto di tesoreria","","000"))</f>
        <v>1 Conto di tesoreria</v>
      </c>
      <c r="F96" s="6">
        <v>2354822507.3000002</v>
      </c>
      <c r="G96" s="12">
        <v>2660914967.6999998</v>
      </c>
      <c r="H96" s="84"/>
      <c r="I96" s="84"/>
    </row>
    <row r="97" spans="4:9" x14ac:dyDescent="0.25">
      <c r="D97" s="86" t="str">
        <f>IF(_epmOfflineCondition_,"C_TOTALC", _xll.EPMOlapMemberO("[AUDITTRAIL].[PARENTH1].[C_TOTALC]","","C_TOTALC","","000"))</f>
        <v>C_TOTALC</v>
      </c>
      <c r="E97" s="87" t="str">
        <f>IF(_epmOfflineCondition_,"a Istituto tesoriere", _xll.EPMOlapMemberO("[CONTO].[PARENTH2].[RGSP79]","","a Istituto tesoriere","","000"))</f>
        <v>a Istituto tesoriere</v>
      </c>
      <c r="F97" s="11">
        <v>1700735087.3</v>
      </c>
      <c r="G97" s="12">
        <v>1503599760.7</v>
      </c>
      <c r="H97" s="78"/>
      <c r="I97" s="78"/>
    </row>
    <row r="98" spans="4:9" x14ac:dyDescent="0.25">
      <c r="D98" s="86" t="str">
        <f>IF(_epmOfflineCondition_,"C_TOTALC", _xll.EPMOlapMemberO("[AUDITTRAIL].[PARENTH1].[C_TOTALC]","","C_TOTALC","","000"))</f>
        <v>C_TOTALC</v>
      </c>
      <c r="E98" s="87" t="str">
        <f>IF(_epmOfflineCondition_,"b presso Banca d'Italia", _xll.EPMOlapMemberO("[CONTO].[PARENTH2].[RGSP80]","","b presso Banca d'Italia","","000"))</f>
        <v>b presso Banca d'Italia</v>
      </c>
      <c r="F98" s="11">
        <v>654087420</v>
      </c>
      <c r="G98" s="12">
        <v>1157315207</v>
      </c>
      <c r="H98" s="78"/>
      <c r="I98" s="78" t="s">
        <v>103</v>
      </c>
    </row>
    <row r="99" spans="4:9" x14ac:dyDescent="0.25">
      <c r="D99" s="77" t="str">
        <f>IF(_epmOfflineCondition_,"C_TOTALC", _xll.EPMOlapMemberO("[AUDITTRAIL].[PARENTH1].[C_TOTALC]","","C_TOTALC","","000"))</f>
        <v>C_TOTALC</v>
      </c>
      <c r="E99" s="59" t="str">
        <f>IF(_epmOfflineCondition_,"2 Altri depositi bancari e postali", _xll.EPMOlapMemberO("[CONTO].[PARENTH2].[RGSP66]","","2 Altri depositi bancari e postali","","000"))</f>
        <v>2 Altri depositi bancari e postali</v>
      </c>
      <c r="F99" s="6">
        <v>261260772.78</v>
      </c>
      <c r="G99" s="12">
        <v>232713688.87</v>
      </c>
      <c r="H99" s="78"/>
      <c r="I99" s="78"/>
    </row>
    <row r="100" spans="4:9" x14ac:dyDescent="0.25">
      <c r="D100" s="77" t="str">
        <f>IF(_epmOfflineCondition_,"C_TOTALC", _xll.EPMOlapMemberO("[AUDITTRAIL].[PARENTH1].[C_TOTALC]","","C_TOTALC","","000"))</f>
        <v>C_TOTALC</v>
      </c>
      <c r="E100" s="59" t="str">
        <f>IF(_epmOfflineCondition_,"3 Denaro e valori in cassa", _xll.EPMOlapMemberO("[CONTO].[PARENTH2].[RGSP67]","","3 Denaro e valori in cassa","","000"))</f>
        <v>3 Denaro e valori in cassa</v>
      </c>
      <c r="F100" s="6">
        <v>862236.11</v>
      </c>
      <c r="G100" s="12">
        <v>821517.02</v>
      </c>
      <c r="H100" s="78" t="s">
        <v>104</v>
      </c>
      <c r="I100" s="78" t="s">
        <v>105</v>
      </c>
    </row>
    <row r="101" spans="4:9" x14ac:dyDescent="0.25">
      <c r="D101" s="77" t="str">
        <f>IF(_epmOfflineCondition_,"C_TOTALC", _xll.EPMOlapMemberO("[AUDITTRAIL].[PARENTH1].[C_TOTALC]","","C_TOTALC","","000"))</f>
        <v>C_TOTALC</v>
      </c>
      <c r="E101" s="59" t="str">
        <f>IF(_epmOfflineCondition_,"4 Altri conti presso la tesoreria statale int", _xll.EPMOlapMemberO("[CONTO].[PARENTH2].[RGSP68]","","4 Altri conti presso la tesoreria statale int","","000"))</f>
        <v>4 Altri conti presso la tesoreria statale int</v>
      </c>
      <c r="F101" s="6">
        <v>31355529.300000001</v>
      </c>
      <c r="G101" s="12">
        <v>50209660.810000002</v>
      </c>
      <c r="H101" s="78" t="s">
        <v>106</v>
      </c>
      <c r="I101" s="78" t="s">
        <v>106</v>
      </c>
    </row>
    <row r="102" spans="4:9" x14ac:dyDescent="0.25">
      <c r="D102" s="88" t="str">
        <f>IF(_epmOfflineCondition_,"C_TOTALC", _xll.EPMOlapMemberO("[AUDITTRAIL].[PARENTH1].[C_TOTALC]","","C_TOTALC","","000"))</f>
        <v>C_TOTALC</v>
      </c>
      <c r="E102" s="49" t="str">
        <f>IF(_epmOfflineCondition_,"Totale disponibilità liquide", _xll.EPMOlapMemberO("[CONTO].[PARENTH2].[RGSP58]","","Totale disponibilità liquide","","000"))</f>
        <v>Totale disponibilità liquide</v>
      </c>
      <c r="F102" s="4">
        <v>2648301045.4899998</v>
      </c>
      <c r="G102" s="4">
        <v>2944659834.4000001</v>
      </c>
      <c r="H102" s="78"/>
      <c r="I102" s="78"/>
    </row>
    <row r="103" spans="4:9" x14ac:dyDescent="0.25">
      <c r="D103" s="71" t="str">
        <f>IF(_epmOfflineCondition_,"C_TOTALC", _xll.EPMOlapMemberO("[AUDITTRAIL].[PARENTH1].[C_TOTALC]","","C_TOTALC","","000"))</f>
        <v>C_TOTALC</v>
      </c>
      <c r="E103" s="49" t="str">
        <f>IF(_epmOfflineCondition_,"C) ATTIVO CIRCOLANTE", _xll.EPMOlapMemberO("[CONTO].[PARENTH2].[RGSP10]","","C) ATTIVO CIRCOLANTE","","000"))</f>
        <v>C) ATTIVO CIRCOLANTE</v>
      </c>
      <c r="F103" s="4">
        <v>12455181394.092728</v>
      </c>
      <c r="G103" s="16">
        <v>11319630590.1</v>
      </c>
      <c r="H103" s="70"/>
      <c r="I103" s="70"/>
    </row>
    <row r="104" spans="4:9" x14ac:dyDescent="0.25">
      <c r="D104" s="72"/>
      <c r="E104" s="50"/>
      <c r="F104" s="7"/>
      <c r="G104" s="16"/>
      <c r="H104" s="70"/>
      <c r="I104" s="70"/>
    </row>
    <row r="105" spans="4:9" x14ac:dyDescent="0.25">
      <c r="D105" s="72"/>
      <c r="E105" s="40" t="s">
        <v>58</v>
      </c>
      <c r="F105" s="4"/>
      <c r="G105" s="17"/>
      <c r="H105" s="74"/>
      <c r="I105" s="74"/>
    </row>
    <row r="106" spans="4:9" x14ac:dyDescent="0.25">
      <c r="D106" s="77" t="str">
        <f>IF(_epmOfflineCondition_,"C_TOTALC", _xll.EPMOlapMemberO("[AUDITTRAIL].[PARENTH1].[C_TOTALC]","","C_TOTALC","","000"))</f>
        <v>C_TOTALC</v>
      </c>
      <c r="E106" s="59" t="str">
        <f>IF(_epmOfflineCondition_,"1 Ratei attivi", _xll.EPMOlapMemberO("[CONTO].[PARENTH2].[RGSP81]","","1 Ratei attivi","","000"))</f>
        <v>1 Ratei attivi</v>
      </c>
      <c r="F106" s="6">
        <v>13913305.5</v>
      </c>
      <c r="G106" s="6">
        <v>15492810.939999999</v>
      </c>
      <c r="H106" s="70"/>
      <c r="I106" s="70"/>
    </row>
    <row r="107" spans="4:9" x14ac:dyDescent="0.25">
      <c r="D107" s="77" t="str">
        <f>IF(_epmOfflineCondition_,"C_TOTALC", _xll.EPMOlapMemberO("[AUDITTRAIL].[PARENTH1].[C_TOTALC]","","C_TOTALC","","000"))</f>
        <v>C_TOTALC</v>
      </c>
      <c r="E107" s="59" t="str">
        <f>IF(_epmOfflineCondition_,"2 Risconti attivi", _xll.EPMOlapMemberO("[CONTO].[PARENTH2].[RGSP82]","","2 Risconti attivi","","000"))</f>
        <v>2 Risconti attivi</v>
      </c>
      <c r="F107" s="6">
        <v>32438171.890000001</v>
      </c>
      <c r="G107" s="6">
        <v>33826475.68</v>
      </c>
      <c r="H107" s="78" t="s">
        <v>107</v>
      </c>
      <c r="I107" s="78" t="s">
        <v>107</v>
      </c>
    </row>
    <row r="108" spans="4:9" x14ac:dyDescent="0.25">
      <c r="D108" s="71" t="str">
        <f>IF(_epmOfflineCondition_,"C_TOTALC", _xll.EPMOlapMemberO("[AUDITTRAIL].[PARENTH1].[C_TOTALC]","","C_TOTALC","","000"))</f>
        <v>C_TOTALC</v>
      </c>
      <c r="E108" s="49" t="str">
        <f>IF(_epmOfflineCondition_,"D) RATEI E RISCONTI", _xll.EPMOlapMemberO("[CONTO].[PARENTH2].[RGSP11]","","D) RATEI E RISCONTI","","000"))</f>
        <v>D) RATEI E RISCONTI</v>
      </c>
      <c r="F108" s="4">
        <v>46351477.390000001</v>
      </c>
      <c r="G108" s="4">
        <v>49319286.619999997</v>
      </c>
      <c r="H108" s="78" t="s">
        <v>107</v>
      </c>
      <c r="I108" s="78" t="s">
        <v>107</v>
      </c>
    </row>
    <row r="109" spans="4:9" x14ac:dyDescent="0.25">
      <c r="D109" s="89"/>
      <c r="E109" s="50"/>
      <c r="F109" s="7"/>
      <c r="G109" s="16"/>
      <c r="H109" s="70"/>
      <c r="I109" s="70"/>
    </row>
    <row r="110" spans="4:9" x14ac:dyDescent="0.25">
      <c r="D110" s="89" t="str">
        <f>IF(_epmOfflineCondition_,"C_TOTALC", _xll.EPMOlapMemberO("[AUDITTRAIL].[PARENTH1].[C_TOTALC]","","C_TOTALC","","000"))</f>
        <v>C_TOTALC</v>
      </c>
      <c r="E110" s="57" t="str">
        <f>IF(_epmOfflineCondition_,"TOTALE DELL'ATTIVO (A+B+C+D)", _xll.EPMOlapMemberO("[CONTO].[PARENTH2].[RGSP6]","","TOTALE DELL'ATTIVO (A+B+C+D)","","000"))</f>
        <v>TOTALE DELL'ATTIVO (A+B+C+D)</v>
      </c>
      <c r="F110" s="2">
        <v>17486380042.662727</v>
      </c>
      <c r="G110" s="2">
        <v>16069712703.75</v>
      </c>
      <c r="H110" s="74"/>
      <c r="I110" s="74"/>
    </row>
    <row r="111" spans="4:9" x14ac:dyDescent="0.25">
      <c r="D111" s="72"/>
      <c r="E111" s="90"/>
      <c r="F111" s="13"/>
      <c r="G111" s="14"/>
      <c r="H111" s="91"/>
      <c r="I111" s="91"/>
    </row>
    <row r="112" spans="4:9" x14ac:dyDescent="0.25">
      <c r="D112" s="72"/>
      <c r="E112" s="40" t="s">
        <v>59</v>
      </c>
      <c r="F112" s="4"/>
      <c r="G112" s="17"/>
      <c r="H112" s="74"/>
      <c r="I112" s="74"/>
    </row>
    <row r="113" spans="4:9" x14ac:dyDescent="0.25">
      <c r="D113" s="72"/>
      <c r="E113" s="40" t="s">
        <v>60</v>
      </c>
      <c r="F113" s="4"/>
      <c r="G113" s="4"/>
      <c r="H113" s="41"/>
      <c r="I113" s="41"/>
    </row>
    <row r="114" spans="4:9" x14ac:dyDescent="0.25">
      <c r="D114" s="72"/>
      <c r="E114" s="59" t="s">
        <v>61</v>
      </c>
      <c r="F114" s="6">
        <f>+F115-F134</f>
        <v>694998790.33000004</v>
      </c>
      <c r="G114" s="6">
        <f>+G115-G134</f>
        <v>683693645.10000002</v>
      </c>
      <c r="H114" s="47"/>
      <c r="I114" s="47"/>
    </row>
    <row r="115" spans="4:9" hidden="1" outlineLevel="1" x14ac:dyDescent="0.25">
      <c r="D115" s="77" t="str">
        <f>IF(_epmOfflineCondition_,"C_TOTALC", _xll.EPMOlapMemberO("[AUDITTRAIL].[PARENTH1].[C_TOTALC]","","C_TOTALC","","000"))</f>
        <v>C_TOTALC</v>
      </c>
      <c r="E115" s="59" t="str">
        <f>IF(_epmOfflineCondition_,"I Fondo di dotazione", _xll.EPMOlapMemberO("[CONTO].[PARENTH2].[RGSP92]","","I Fondo di dotazione","","000"))</f>
        <v>I Fondo di dotazione</v>
      </c>
      <c r="F115" s="6">
        <v>695223385.33000004</v>
      </c>
      <c r="G115" s="6">
        <v>683918240.10000002</v>
      </c>
      <c r="H115" s="47"/>
      <c r="I115" s="47"/>
    </row>
    <row r="116" spans="4:9" collapsed="1" x14ac:dyDescent="0.25">
      <c r="D116" s="77" t="str">
        <f>IF(_epmOfflineCondition_,"C_TOTALC", _xll.EPMOlapMemberO("[AUDITTRAIL].[PARENTH1].[C_TOTALC]","","C_TOTALC","","000"))</f>
        <v>C_TOTALC</v>
      </c>
      <c r="E116" s="59" t="str">
        <f>IF(_epmOfflineCondition_,"II Riserve", _xll.EPMOlapMemberO("[CONTO].[PARENTH2].[RGSP93]","","II Riserve","","000"))</f>
        <v>II Riserve</v>
      </c>
      <c r="F116" s="6">
        <v>1795949988.5227273</v>
      </c>
      <c r="G116" s="12">
        <v>1834345937.3399999</v>
      </c>
      <c r="H116" s="78" t="s">
        <v>108</v>
      </c>
      <c r="I116" s="78" t="s">
        <v>108</v>
      </c>
    </row>
    <row r="117" spans="4:9" x14ac:dyDescent="0.25">
      <c r="D117" s="86" t="str">
        <f>IF(_epmOfflineCondition_,"C_TOTALC", _xll.EPMOlapMemberO("[AUDITTRAIL].[PARENTH1].[C_TOTALC]","","C_TOTALC","","000"))</f>
        <v>C_TOTALC</v>
      </c>
      <c r="E117" s="87" t="str">
        <f>IF(_epmOfflineCondition_,"b da capitale", _xll.EPMOlapMemberO("[CONTO].[PARENTH2].[RGSP96]","","b da capitale","","000"))</f>
        <v>b da capitale</v>
      </c>
      <c r="F117" s="11">
        <v>979721106.64272726</v>
      </c>
      <c r="G117" s="12">
        <v>1022960107.67</v>
      </c>
      <c r="H117" s="78"/>
      <c r="I117" s="78"/>
    </row>
    <row r="118" spans="4:9" x14ac:dyDescent="0.25">
      <c r="D118" s="77" t="str">
        <f>IF(_epmOfflineCondition_,"C_TOTALC", _xll.EPMOlapMemberO("[AUDITTRAIL].[PARENTH1].[C_TOTALC]","","C_TOTALC","","000"))</f>
        <v>C_TOTALC</v>
      </c>
      <c r="E118" s="87" t="str">
        <f>IF(_epmOfflineCondition_,"c da permessi di costruire", _xll.EPMOlapMemberO("[CONTO].[PARENTH2].[RGSP97]","","c da permessi di costruire","","000"))</f>
        <v>c da permessi di costruire</v>
      </c>
      <c r="F118" s="6"/>
      <c r="G118" s="12"/>
      <c r="H118" s="78" t="s">
        <v>109</v>
      </c>
      <c r="I118" s="78" t="s">
        <v>109</v>
      </c>
    </row>
    <row r="119" spans="4:9" x14ac:dyDescent="0.25">
      <c r="D119" s="86" t="str">
        <f>IF(_epmOfflineCondition_,"C_TOTALC", _xll.EPMOlapMemberO("[AUDITTRAIL].[PARENTH1].[C_TOTALC]","","C_TOTALC","","000"))</f>
        <v>C_TOTALC</v>
      </c>
      <c r="E119" s="87" t="str">
        <f>IF(_epmOfflineCondition_,"d Riserve indisponibili per beni demaniali", _xll.EPMOlapMemberO("[CONTO].[PARENTH2].[RGSP12]","","d Riserve indisponibili per beni demaniali","","000"))</f>
        <v>d Riserve indisponibili per beni demaniali</v>
      </c>
      <c r="F119" s="11">
        <v>809006104.88</v>
      </c>
      <c r="G119" s="12">
        <v>804207741.66999996</v>
      </c>
      <c r="H119" s="78" t="s">
        <v>110</v>
      </c>
      <c r="I119" s="78" t="s">
        <v>110</v>
      </c>
    </row>
    <row r="120" spans="4:9" x14ac:dyDescent="0.25">
      <c r="D120" s="86" t="str">
        <f>IF(_epmOfflineCondition_,"C_TOTALC", _xll.EPMOlapMemberO("[AUDITTRAIL].[PARENTH1].[C_TOTALC]","","C_TOTALC","","000"))</f>
        <v>C_TOTALC</v>
      </c>
      <c r="E120" s="87" t="str">
        <f>IF(_epmOfflineCondition_,"e altre riserve indisponibili", _xll.EPMOlapMemberO("[CONTO].[PARENTH2].[RGSP84]","","e altre riserve indisponibili","","000"))</f>
        <v>e altre riserve indisponibili</v>
      </c>
      <c r="F120" s="11">
        <v>7222777</v>
      </c>
      <c r="G120" s="12">
        <v>4818693</v>
      </c>
      <c r="H120" s="78"/>
      <c r="I120" s="78"/>
    </row>
    <row r="121" spans="4:9" x14ac:dyDescent="0.25">
      <c r="D121" s="77" t="str">
        <f>IF(_epmOfflineCondition_,"C_TOTALC", _xll.EPMOlapMemberO("[AUDITTRAIL].[PARENTH1].[C_TOTALC]","","C_TOTALC","","000"))</f>
        <v>C_TOTALC</v>
      </c>
      <c r="E121" s="87" t="str">
        <f>IF(_epmOfflineCondition_,"f altre riserve disponibili", _xll.EPMOlapMemberO("[CONTO].[PARENTH2].[RGSP133]","","f altre riserve disponibili","","000"))</f>
        <v>f altre riserve disponibili</v>
      </c>
      <c r="F121" s="6"/>
      <c r="G121" s="12">
        <v>2359395</v>
      </c>
      <c r="H121" s="78"/>
      <c r="I121" s="78"/>
    </row>
    <row r="122" spans="4:9" x14ac:dyDescent="0.25">
      <c r="D122" s="77" t="str">
        <f>IF(_epmOfflineCondition_,"C_TOTALC", _xll.EPMOlapMemberO("[AUDITTRAIL].[PARENTH1].[C_TOTALC]","","C_TOTALC","","000"))</f>
        <v>C_TOTALC</v>
      </c>
      <c r="E122" s="59" t="str">
        <f>IF(_epmOfflineCondition_,"f altre riserve disponibili", _xll.EPMOlapMemberO("[CONTO].[PARENTH2].[RGSP133]","","f altre riserve disponibili","","000"))</f>
        <v>f altre riserve disponibili</v>
      </c>
      <c r="F122" s="6"/>
      <c r="G122" s="6">
        <v>2359395</v>
      </c>
      <c r="H122" s="78"/>
      <c r="I122" s="78"/>
    </row>
    <row r="123" spans="4:9" x14ac:dyDescent="0.25">
      <c r="D123" s="77"/>
      <c r="E123" s="59" t="s">
        <v>111</v>
      </c>
      <c r="F123" s="6">
        <f>+F124-F131</f>
        <v>2024352141.22</v>
      </c>
      <c r="G123" s="6">
        <f>+G124-G131</f>
        <v>1558792041.97</v>
      </c>
      <c r="H123" s="78"/>
      <c r="I123" s="78"/>
    </row>
    <row r="124" spans="4:9" hidden="1" outlineLevel="1" x14ac:dyDescent="0.25">
      <c r="D124" s="77" t="str">
        <f>IF(_epmOfflineCondition_,"C_TOTALC", _xll.EPMOlapMemberO("[AUDITTRAIL].[PARENTH1].[C_TOTALC]","","C_TOTALC","","000"))</f>
        <v>C_TOTALC</v>
      </c>
      <c r="E124" s="59" t="str">
        <f>IF(_epmOfflineCondition_,"III Risultato economico dell'esercizio", _xll.EPMOlapMemberO("[CONTO].[PARENTH2].[RGSP94]","","III Risultato economico dell'esercizio","","000"))</f>
        <v>III Risultato economico dell'esercizio</v>
      </c>
      <c r="F124" s="6">
        <v>2024496461.22</v>
      </c>
      <c r="G124" s="6">
        <v>1559003001.97</v>
      </c>
      <c r="H124" s="78"/>
      <c r="I124" s="78"/>
    </row>
    <row r="125" spans="4:9" collapsed="1" x14ac:dyDescent="0.25">
      <c r="D125" s="77" t="str">
        <f>IF(_epmOfflineCondition_,"C_TOTALC", _xll.EPMOlapMemberO("[AUDITTRAIL].[PARENTH1].[C_TOTALC]","","C_TOTALC","","000"))</f>
        <v>C_TOTALC</v>
      </c>
      <c r="E125" s="59" t="str">
        <f>IF(_epmOfflineCondition_,"IV Risultati economici di esercizi precedenti", _xll.EPMOlapMemberO("[CONTO].[PARENTH2].[RGSP134]","","IV Risultati economici di esercizi precedenti","","000"))</f>
        <v>IV Risultati economici di esercizi precedenti</v>
      </c>
      <c r="F125" s="6">
        <v>-5877967020.79</v>
      </c>
      <c r="G125" s="12">
        <v>-7134432677.1899996</v>
      </c>
      <c r="H125" s="78" t="s">
        <v>112</v>
      </c>
      <c r="I125" s="78" t="s">
        <v>112</v>
      </c>
    </row>
    <row r="126" spans="4:9" x14ac:dyDescent="0.25">
      <c r="D126" s="92" t="str">
        <f>IF(_epmOfflineCondition_,"C_TOTALC", _xll.EPMOlapMemberO("[AUDITTRAIL].[PARENTH1].[C_TOTALC]","","C_TOTALC","","000"))</f>
        <v>C_TOTALC</v>
      </c>
      <c r="E126" s="59" t="str">
        <f>IF(_epmOfflineCondition_,"V Riserve negative per beni indisponibili", _xll.EPMOlapMemberO("[CONTO].[PARENTH2].[RGSP144]","","V Riserve negative per beni indisponibili","","000"))</f>
        <v>V Riserve negative per beni indisponibili</v>
      </c>
      <c r="F126" s="6"/>
      <c r="G126" s="12"/>
      <c r="H126" s="78"/>
      <c r="I126" s="78"/>
    </row>
    <row r="127" spans="4:9" x14ac:dyDescent="0.25">
      <c r="D127" s="93"/>
      <c r="E127" s="94" t="s">
        <v>62</v>
      </c>
      <c r="F127" s="4">
        <f>+F114+F116+F123+F125+F126</f>
        <v>-1362666100.7172728</v>
      </c>
      <c r="G127" s="4">
        <f>+G114+G116+G123+G125+G126</f>
        <v>-3057601052.7799997</v>
      </c>
      <c r="H127" s="70"/>
      <c r="I127" s="70"/>
    </row>
    <row r="128" spans="4:9" x14ac:dyDescent="0.25">
      <c r="D128" s="93"/>
      <c r="E128" s="94"/>
      <c r="F128" s="4"/>
      <c r="G128" s="4"/>
      <c r="H128" s="70"/>
      <c r="I128" s="70"/>
    </row>
    <row r="129" spans="4:9" x14ac:dyDescent="0.25">
      <c r="D129" s="93"/>
      <c r="E129" s="40" t="s">
        <v>63</v>
      </c>
      <c r="F129" s="4"/>
      <c r="G129" s="4"/>
      <c r="H129" s="41"/>
      <c r="I129" s="41"/>
    </row>
    <row r="130" spans="4:9" x14ac:dyDescent="0.25">
      <c r="D130" s="93"/>
      <c r="E130" s="59" t="s">
        <v>64</v>
      </c>
      <c r="F130" s="6">
        <f>+F134+F132</f>
        <v>224595</v>
      </c>
      <c r="G130" s="6">
        <f>+G134+G132</f>
        <v>224595</v>
      </c>
      <c r="H130" s="78"/>
      <c r="I130" s="78"/>
    </row>
    <row r="131" spans="4:9" x14ac:dyDescent="0.25">
      <c r="D131" s="93"/>
      <c r="E131" s="59" t="s">
        <v>65</v>
      </c>
      <c r="F131" s="6">
        <f>+F135+F133</f>
        <v>144320</v>
      </c>
      <c r="G131" s="6">
        <f>+G135+G133</f>
        <v>210960</v>
      </c>
      <c r="H131" s="78"/>
      <c r="I131" s="78"/>
    </row>
    <row r="132" spans="4:9" hidden="1" outlineLevel="1" x14ac:dyDescent="0.25">
      <c r="D132" s="93" t="str">
        <f>IF(_epmOfflineCondition_,"C_TOTALC", _xll.EPMOlapMemberO("[AUDITTRAIL].[PARENTH1].[C_TOTALC]","","C_TOTALC","","000"))</f>
        <v>C_TOTALC</v>
      </c>
      <c r="E132" s="95" t="str">
        <f>IF(_epmOfflineCondition_," Riserva di Consolidamento (pertinenza di terzi)", _xll.EPMOlapMemberO("[CONTO].[PARENTH2].[ CALC_PA78M]",""," Riserva di Consolidamento (pertinenza di terzi)","","000"))</f>
        <v xml:space="preserve"> Riserva di Consolidamento (pertinenza di terzi)</v>
      </c>
      <c r="F132" s="26"/>
      <c r="G132" s="25"/>
      <c r="H132" s="96"/>
      <c r="I132" s="96"/>
    </row>
    <row r="133" spans="4:9" hidden="1" outlineLevel="1" x14ac:dyDescent="0.25">
      <c r="D133" s="93" t="str">
        <f>IF(_epmOfflineCondition_,"C_TOTALC", _xll.EPMOlapMemberO("[AUDITTRAIL].[PARENTH1].[C_TOTALC]","","C_TOTALC","","000"))</f>
        <v>C_TOTALC</v>
      </c>
      <c r="E133" s="95" t="str">
        <f>IF(_epmOfflineCondition_," Utile dell'esercizio (pertinenza di terzi)", _xll.EPMOlapMemberO("[CONTO].[PARENTH2].[CALC_PA90M]",""," Utile dell'esercizio (pertinenza di terzi)","","000"))</f>
        <v xml:space="preserve"> Utile dell'esercizio (pertinenza di terzi)</v>
      </c>
      <c r="F133" s="26">
        <v>0</v>
      </c>
      <c r="G133" s="25"/>
      <c r="H133" s="96"/>
      <c r="I133" s="96"/>
    </row>
    <row r="134" spans="4:9" hidden="1" outlineLevel="1" x14ac:dyDescent="0.25">
      <c r="D134" s="77" t="str">
        <f>IF(_epmOfflineCondition_,"C_TOTALC", _xll.EPMOlapMemberO("[AUDITTRAIL].[PARENTH1].[C_TOTALC]","","C_TOTALC","","000"))</f>
        <v>C_TOTALC</v>
      </c>
      <c r="E134" s="59" t="str">
        <f>IF(_epmOfflineCondition_,"Fondo dotazione e riserve di pertinenza terzi", _xll.EPMOlapMemberO("[CONTO].[PARENTH2].[RIS_TERZI]","","Fondo dotazione e riserve di pertinenza terzi","","000"))</f>
        <v>Fondo dotazione e riserve di pertinenza terzi</v>
      </c>
      <c r="F134" s="6">
        <v>224595</v>
      </c>
      <c r="G134" s="12">
        <v>224595</v>
      </c>
      <c r="H134" s="78"/>
      <c r="I134" s="78"/>
    </row>
    <row r="135" spans="4:9" hidden="1" outlineLevel="1" x14ac:dyDescent="0.25">
      <c r="D135" s="77" t="str">
        <f>IF(_epmOfflineCondition_,"C_TOTALC", _xll.EPMOlapMemberO("[AUDITTRAIL].[PARENTH1].[C_TOTALC]","","C_TOTALC","","000"))</f>
        <v>C_TOTALC</v>
      </c>
      <c r="E135" s="59" t="str">
        <f>IF(_epmOfflineCondition_,"Risultato economico dell'esercizio di pertinenza terzi", _xll.EPMOlapMemberO("[CONTO].[PARENTH2].[UTILE_TERZI_SP]","","Risultato economico dell'esercizio di pertinenza terzi","","000"))</f>
        <v>Risultato economico dell'esercizio di pertinenza terzi</v>
      </c>
      <c r="F135" s="6">
        <v>144320</v>
      </c>
      <c r="G135" s="12">
        <v>210960</v>
      </c>
      <c r="H135" s="78"/>
      <c r="I135" s="78"/>
    </row>
    <row r="136" spans="4:9" hidden="1" outlineLevel="1" x14ac:dyDescent="0.25">
      <c r="D136" s="89"/>
      <c r="E136" s="57" t="s">
        <v>66</v>
      </c>
      <c r="F136" s="2">
        <f>+F130+F131</f>
        <v>368915</v>
      </c>
      <c r="G136" s="2">
        <f>+G130+G131</f>
        <v>435555</v>
      </c>
      <c r="H136" s="91"/>
      <c r="I136" s="91"/>
    </row>
    <row r="137" spans="4:9" collapsed="1" x14ac:dyDescent="0.25">
      <c r="D137" s="71" t="str">
        <f>IF(_epmOfflineCondition_,"C_TOTALC", _xll.EPMOlapMemberO("[AUDITTRAIL].[PARENTH1].[C_TOTALC]","","C_TOTALC","","000"))</f>
        <v>C_TOTALC</v>
      </c>
      <c r="E137" s="49" t="str">
        <f>IF(_epmOfflineCondition_,"TOTALE PATRIMONIO NETTO (A)", _xll.EPMOlapMemberO("[CONTO].[PARENTH2].[RGSP85]","","TOTALE PATRIMONIO NETTO (A)","","000"))</f>
        <v>TOTALE PATRIMONIO NETTO (A)</v>
      </c>
      <c r="F137" s="4">
        <v>-1362297185.7172728</v>
      </c>
      <c r="G137" s="16">
        <v>-3057165497.7800002</v>
      </c>
      <c r="H137" s="70"/>
      <c r="I137" s="70"/>
    </row>
    <row r="138" spans="4:9" x14ac:dyDescent="0.25">
      <c r="D138" s="72"/>
      <c r="E138" s="50"/>
      <c r="F138" s="7"/>
      <c r="G138" s="17"/>
      <c r="H138" s="74" t="s">
        <v>113</v>
      </c>
      <c r="I138" s="74" t="s">
        <v>113</v>
      </c>
    </row>
    <row r="139" spans="4:9" x14ac:dyDescent="0.25">
      <c r="D139" s="72"/>
      <c r="E139" s="40" t="s">
        <v>67</v>
      </c>
      <c r="F139" s="4"/>
      <c r="G139" s="16"/>
      <c r="H139" s="70"/>
      <c r="I139" s="70"/>
    </row>
    <row r="140" spans="4:9" x14ac:dyDescent="0.25">
      <c r="D140" s="77" t="str">
        <f>IF(_epmOfflineCondition_,"C_TOTALC", _xll.EPMOlapMemberO("[AUDITTRAIL].[PARENTH1].[C_TOTALC]","","C_TOTALC","","000"))</f>
        <v>C_TOTALC</v>
      </c>
      <c r="E140" s="59" t="str">
        <f>IF(_epmOfflineCondition_,"1 Per trattamento di quiescenza", _xll.EPMOlapMemberO("[CONTO].[PARENTH2].[RGSP98]","","1 Per trattamento di quiescenza","","000"))</f>
        <v>1 Per trattamento di quiescenza</v>
      </c>
      <c r="F140" s="6"/>
      <c r="G140" s="12"/>
      <c r="H140" s="78" t="s">
        <v>114</v>
      </c>
      <c r="I140" s="78" t="s">
        <v>114</v>
      </c>
    </row>
    <row r="141" spans="4:9" x14ac:dyDescent="0.25">
      <c r="D141" s="77" t="str">
        <f>IF(_epmOfflineCondition_,"C_TOTALC", _xll.EPMOlapMemberO("[AUDITTRAIL].[PARENTH1].[C_TOTALC]","","C_TOTALC","","000"))</f>
        <v>C_TOTALC</v>
      </c>
      <c r="E141" s="59" t="str">
        <f>IF(_epmOfflineCondition_,"2 Per imposte", _xll.EPMOlapMemberO("[CONTO].[PARENTH2].[RGSP99]","","2 Per imposte","","000"))</f>
        <v>2 Per imposte</v>
      </c>
      <c r="F141" s="6">
        <v>1586677</v>
      </c>
      <c r="G141" s="12">
        <v>2592838</v>
      </c>
      <c r="H141" s="78" t="s">
        <v>115</v>
      </c>
      <c r="I141" s="78" t="s">
        <v>115</v>
      </c>
    </row>
    <row r="142" spans="4:9" x14ac:dyDescent="0.25">
      <c r="D142" s="77" t="str">
        <f>IF(_epmOfflineCondition_,"C_TOTALC", _xll.EPMOlapMemberO("[AUDITTRAIL].[PARENTH1].[C_TOTALC]","","C_TOTALC","","000"))</f>
        <v>C_TOTALC</v>
      </c>
      <c r="E142" s="59" t="str">
        <f>IF(_epmOfflineCondition_,"3 Altri", _xll.EPMOlapMemberO("[CONTO].[PARENTH2].[RGSP100]","","3 Altri","","000"))</f>
        <v>3 Altri</v>
      </c>
      <c r="F142" s="6">
        <v>925267160.14999998</v>
      </c>
      <c r="G142" s="12">
        <v>877469319.99000001</v>
      </c>
      <c r="H142" s="78" t="s">
        <v>113</v>
      </c>
      <c r="I142" s="78" t="s">
        <v>113</v>
      </c>
    </row>
    <row r="143" spans="4:9" x14ac:dyDescent="0.25">
      <c r="D143" s="71" t="str">
        <f>IF(_epmOfflineCondition_,"C_TOTALC", _xll.EPMOlapMemberO("[AUDITTRAIL].[PARENTH1].[C_TOTALC]","","C_TOTALC","","000"))</f>
        <v>C_TOTALC</v>
      </c>
      <c r="E143" s="49" t="str">
        <f>IF(_epmOfflineCondition_,"TOTALE FONDI RISCHI ED ONER (B)", _xll.EPMOlapMemberO("[CONTO].[PARENTH2].[RGSP86]","","TOTALE FONDI RISCHI ED ONER (B)","","000"))</f>
        <v>TOTALE FONDI RISCHI ED ONER (B)</v>
      </c>
      <c r="F143" s="4">
        <v>926853837.14999998</v>
      </c>
      <c r="G143" s="16">
        <v>880062157.99000001</v>
      </c>
      <c r="H143" s="70"/>
      <c r="I143" s="70"/>
    </row>
    <row r="144" spans="4:9" x14ac:dyDescent="0.25">
      <c r="D144" s="72"/>
      <c r="E144" s="50"/>
      <c r="F144" s="7"/>
      <c r="G144" s="17"/>
      <c r="H144" s="74"/>
      <c r="I144" s="74"/>
    </row>
    <row r="145" spans="4:9" x14ac:dyDescent="0.25">
      <c r="D145" s="72"/>
      <c r="E145" s="40" t="s">
        <v>68</v>
      </c>
      <c r="F145" s="4"/>
      <c r="G145" s="16"/>
      <c r="H145" s="70" t="s">
        <v>116</v>
      </c>
      <c r="I145" s="70" t="s">
        <v>116</v>
      </c>
    </row>
    <row r="146" spans="4:9" x14ac:dyDescent="0.25">
      <c r="D146" s="77" t="str">
        <f>IF(_epmOfflineCondition_,"C_TOTALC", _xll.EPMOlapMemberO("[AUDITTRAIL].[PARENTH1].[C_TOTALC]","","C_TOTALC","","000"))</f>
        <v>C_TOTALC</v>
      </c>
      <c r="E146" s="59" t="str">
        <f>IF(_epmOfflineCondition_,"Fondo per trattamento fine rapporto", _xll.EPMOlapMemberO("[CONTO].[PARENTH2].[231AA01001]","","Fondo per trattamento fine rapporto","","000"))</f>
        <v>Fondo per trattamento fine rapporto</v>
      </c>
      <c r="F146" s="6">
        <v>51360904.310000002</v>
      </c>
      <c r="G146" s="12">
        <v>54938101.18</v>
      </c>
      <c r="H146" s="78"/>
      <c r="I146" s="78"/>
    </row>
    <row r="147" spans="4:9" x14ac:dyDescent="0.25">
      <c r="D147" s="71" t="str">
        <f>IF(_epmOfflineCondition_,"C_TOTALC", _xll.EPMOlapMemberO("[AUDITTRAIL].[PARENTH1].[C_TOTALC]","","C_TOTALC","","000"))</f>
        <v>C_TOTALC</v>
      </c>
      <c r="E147" s="49" t="str">
        <f>IF(_epmOfflineCondition_,"TOTALE T.F.R. (C)", _xll.EPMOlapMemberO("[CONTO].[PARENTH2].[RGSP87]","","TOTALE T.F.R. (C)","","000"))</f>
        <v>TOTALE T.F.R. (C)</v>
      </c>
      <c r="F147" s="4">
        <v>51360904.310000002</v>
      </c>
      <c r="G147" s="16">
        <v>54938101.18</v>
      </c>
      <c r="H147" s="70"/>
      <c r="I147" s="70"/>
    </row>
    <row r="148" spans="4:9" x14ac:dyDescent="0.25">
      <c r="D148" s="72"/>
      <c r="E148" s="50"/>
      <c r="F148" s="7"/>
      <c r="G148" s="17"/>
      <c r="H148" s="74"/>
      <c r="I148" s="74"/>
    </row>
    <row r="149" spans="4:9" x14ac:dyDescent="0.25">
      <c r="D149" s="72"/>
      <c r="E149" s="40" t="s">
        <v>69</v>
      </c>
      <c r="F149" s="4"/>
      <c r="G149" s="16"/>
      <c r="H149" s="70"/>
      <c r="I149" s="70"/>
    </row>
    <row r="150" spans="4:9" x14ac:dyDescent="0.25">
      <c r="D150" s="77" t="str">
        <f>IF(_epmOfflineCondition_,"C_TOTALC", _xll.EPMOlapMemberO("[AUDITTRAIL].[PARENTH1].[C_TOTALC]","","C_TOTALC","","000"))</f>
        <v>C_TOTALC</v>
      </c>
      <c r="E150" s="59" t="str">
        <f>IF(_epmOfflineCondition_,"1 Debiti da finanziamento", _xll.EPMOlapMemberO("[CONTO].[PARENTH2].[RGSP101]","","1 Debiti da finanziamento","","000"))</f>
        <v>1 Debiti da finanziamento</v>
      </c>
      <c r="F150" s="6">
        <v>7229648342.9799995</v>
      </c>
      <c r="G150" s="12">
        <v>7578088309.5100002</v>
      </c>
      <c r="H150" s="78"/>
      <c r="I150" s="78"/>
    </row>
    <row r="151" spans="4:9" x14ac:dyDescent="0.25">
      <c r="D151" s="86" t="str">
        <f>IF(_epmOfflineCondition_,"C_TOTALC", _xll.EPMOlapMemberO("[AUDITTRAIL].[PARENTH1].[C_TOTALC]","","C_TOTALC","","000"))</f>
        <v>C_TOTALC</v>
      </c>
      <c r="E151" s="87" t="str">
        <f>IF(_epmOfflineCondition_,"a prestiti obbligazionari", _xll.EPMOlapMemberO("[CONTO].[PARENTH2].[RGSP105]","","a prestiti obbligazionari","","000"))</f>
        <v>a prestiti obbligazionari</v>
      </c>
      <c r="F151" s="11">
        <v>225000000</v>
      </c>
      <c r="G151" s="12">
        <v>225000000</v>
      </c>
      <c r="H151" s="78" t="s">
        <v>117</v>
      </c>
      <c r="I151" s="78" t="s">
        <v>118</v>
      </c>
    </row>
    <row r="152" spans="4:9" x14ac:dyDescent="0.25">
      <c r="D152" s="86" t="str">
        <f>IF(_epmOfflineCondition_,"C_TOTALC", _xll.EPMOlapMemberO("[AUDITTRAIL].[PARENTH1].[C_TOTALC]","","C_TOTALC","","000"))</f>
        <v>C_TOTALC</v>
      </c>
      <c r="E152" s="87" t="str">
        <f>IF(_epmOfflineCondition_,"b v/ altre amministrazioni pubbliche", _xll.EPMOlapMemberO("[CONTO].[PARENTH2].[RGSP106]","","b v/ altre amministrazioni pubbliche","","000"))</f>
        <v>b v/ altre amministrazioni pubbliche</v>
      </c>
      <c r="F152" s="11">
        <v>2184154413.1700001</v>
      </c>
      <c r="G152" s="12">
        <v>2263413150.54</v>
      </c>
      <c r="H152" s="78"/>
      <c r="I152" s="78"/>
    </row>
    <row r="153" spans="4:9" x14ac:dyDescent="0.25">
      <c r="D153" s="86" t="str">
        <f>IF(_epmOfflineCondition_,"C_TOTALC", _xll.EPMOlapMemberO("[AUDITTRAIL].[PARENTH1].[C_TOTALC]","","C_TOTALC","","000"))</f>
        <v>C_TOTALC</v>
      </c>
      <c r="E153" s="87" t="str">
        <f>IF(_epmOfflineCondition_,"c verso banche e tesoriere", _xll.EPMOlapMemberO("[CONTO].[PARENTH2].[RGSP107]","","c verso banche e tesoriere","","000"))</f>
        <v>c verso banche e tesoriere</v>
      </c>
      <c r="F153" s="11">
        <v>22914565</v>
      </c>
      <c r="G153" s="12">
        <v>16569337.789999999</v>
      </c>
      <c r="H153" s="78" t="s">
        <v>119</v>
      </c>
      <c r="I153" s="78" t="s">
        <v>120</v>
      </c>
    </row>
    <row r="154" spans="4:9" x14ac:dyDescent="0.25">
      <c r="D154" s="86" t="str">
        <f>IF(_epmOfflineCondition_,"C_TOTALC", _xll.EPMOlapMemberO("[AUDITTRAIL].[PARENTH1].[C_TOTALC]","","C_TOTALC","","000"))</f>
        <v>C_TOTALC</v>
      </c>
      <c r="E154" s="87" t="str">
        <f>IF(_epmOfflineCondition_,"d verso altri finanziatori", _xll.EPMOlapMemberO("[CONTO].[PARENTH2].[RGSP108]","","d verso altri finanziatori","","000"))</f>
        <v>d verso altri finanziatori</v>
      </c>
      <c r="F154" s="11">
        <v>4797579364.8100004</v>
      </c>
      <c r="G154" s="12">
        <v>5073105821.1800003</v>
      </c>
      <c r="H154" s="78" t="s">
        <v>121</v>
      </c>
      <c r="I154" s="78"/>
    </row>
    <row r="155" spans="4:9" x14ac:dyDescent="0.25">
      <c r="D155" s="77" t="str">
        <f>IF(_epmOfflineCondition_,"C_TOTALC", _xll.EPMOlapMemberO("[AUDITTRAIL].[PARENTH1].[C_TOTALC]","","C_TOTALC","","000"))</f>
        <v>C_TOTALC</v>
      </c>
      <c r="E155" s="59" t="str">
        <f>IF(_epmOfflineCondition_,"2 Debiti verso fornitori", _xll.EPMOlapMemberO("[CONTO].[PARENTH2].[RGSP102]","","2 Debiti verso fornitori","","000"))</f>
        <v>2 Debiti verso fornitori</v>
      </c>
      <c r="F155" s="6">
        <v>468467328.41000003</v>
      </c>
      <c r="G155" s="12">
        <v>400437390.72000003</v>
      </c>
      <c r="H155" s="78" t="s">
        <v>122</v>
      </c>
      <c r="I155" s="78" t="s">
        <v>123</v>
      </c>
    </row>
    <row r="156" spans="4:9" x14ac:dyDescent="0.25">
      <c r="D156" s="77" t="str">
        <f>IF(_epmOfflineCondition_,"C_TOTALC", _xll.EPMOlapMemberO("[AUDITTRAIL].[PARENTH1].[C_TOTALC]","","C_TOTALC","","000"))</f>
        <v>C_TOTALC</v>
      </c>
      <c r="E156" s="59" t="str">
        <f>IF(_epmOfflineCondition_,"3 Acconti", _xll.EPMOlapMemberO("[CONTO].[PARENTH2].[RGSP103]","","3 Acconti","","000"))</f>
        <v>3 Acconti</v>
      </c>
      <c r="F156" s="6">
        <v>86582202</v>
      </c>
      <c r="G156" s="12">
        <v>112138972</v>
      </c>
      <c r="H156" s="78" t="s">
        <v>123</v>
      </c>
      <c r="I156" s="78" t="s">
        <v>121</v>
      </c>
    </row>
    <row r="157" spans="4:9" x14ac:dyDescent="0.25">
      <c r="D157" s="77" t="str">
        <f>IF(_epmOfflineCondition_,"C_TOTALC", _xll.EPMOlapMemberO("[AUDITTRAIL].[PARENTH1].[C_TOTALC]","","C_TOTALC","","000"))</f>
        <v>C_TOTALC</v>
      </c>
      <c r="E157" s="59" t="str">
        <f>IF(_epmOfflineCondition_,"4 Debiti per trasferimenti e contributi", _xll.EPMOlapMemberO("[CONTO].[PARENTH2].[RGSP104]","","4 Debiti per trasferimenti e contributi","","000"))</f>
        <v>4 Debiti per trasferimenti e contributi</v>
      </c>
      <c r="F157" s="6">
        <v>6883021703.7700005</v>
      </c>
      <c r="G157" s="12">
        <v>6647466289.6800003</v>
      </c>
      <c r="H157" s="78"/>
      <c r="I157" s="78"/>
    </row>
    <row r="158" spans="4:9" x14ac:dyDescent="0.25">
      <c r="D158" s="86" t="str">
        <f>IF(_epmOfflineCondition_,"C_TOTALC", _xll.EPMOlapMemberO("[AUDITTRAIL].[PARENTH1].[C_TOTALC]","","C_TOTALC","","000"))</f>
        <v>C_TOTALC</v>
      </c>
      <c r="E158" s="87" t="str">
        <f>IF(_epmOfflineCondition_,"a enti finanziati dal servizio sanitario naz", _xll.EPMOlapMemberO("[CONTO].[PARENTH2].[RGSP110]","","a enti finanziati dal servizio sanitario naz","","000"))</f>
        <v>a enti finanziati dal servizio sanitario naz</v>
      </c>
      <c r="F158" s="11">
        <v>5066876682.2799997</v>
      </c>
      <c r="G158" s="12">
        <v>4731091228.0900002</v>
      </c>
      <c r="H158" s="78"/>
      <c r="I158" s="78"/>
    </row>
    <row r="159" spans="4:9" x14ac:dyDescent="0.25">
      <c r="D159" s="86" t="str">
        <f>IF(_epmOfflineCondition_,"C_TOTALC", _xll.EPMOlapMemberO("[AUDITTRAIL].[PARENTH1].[C_TOTALC]","","C_TOTALC","","000"))</f>
        <v>C_TOTALC</v>
      </c>
      <c r="E159" s="87" t="str">
        <f>IF(_epmOfflineCondition_,"b altre amministrazioni pubbliche", _xll.EPMOlapMemberO("[CONTO].[PARENTH2].[RGSP111]","","b altre amministrazioni pubbliche","","000"))</f>
        <v>b altre amministrazioni pubbliche</v>
      </c>
      <c r="F159" s="11">
        <v>1462061164.1600001</v>
      </c>
      <c r="G159" s="12">
        <v>1509633787.2</v>
      </c>
      <c r="H159" s="78"/>
      <c r="I159" s="78"/>
    </row>
    <row r="160" spans="4:9" x14ac:dyDescent="0.25">
      <c r="D160" s="86" t="str">
        <f>IF(_epmOfflineCondition_,"C_TOTALC", _xll.EPMOlapMemberO("[AUDITTRAIL].[PARENTH1].[C_TOTALC]","","C_TOTALC","","000"))</f>
        <v>C_TOTALC</v>
      </c>
      <c r="E160" s="87" t="str">
        <f>IF(_epmOfflineCondition_,"c imprese controllate", _xll.EPMOlapMemberO("[CONTO].[PARENTH2].[RGSP112]","","c imprese controllate","","000"))</f>
        <v>c imprese controllate</v>
      </c>
      <c r="F160" s="11">
        <v>29369287.98</v>
      </c>
      <c r="G160" s="12">
        <v>29737844.920000002</v>
      </c>
      <c r="H160" s="78" t="s">
        <v>124</v>
      </c>
      <c r="I160" s="78" t="s">
        <v>125</v>
      </c>
    </row>
    <row r="161" spans="4:9" x14ac:dyDescent="0.25">
      <c r="D161" s="86" t="str">
        <f>IF(_epmOfflineCondition_,"C_TOTALC", _xll.EPMOlapMemberO("[AUDITTRAIL].[PARENTH1].[C_TOTALC]","","C_TOTALC","","000"))</f>
        <v>C_TOTALC</v>
      </c>
      <c r="E161" s="87" t="str">
        <f>IF(_epmOfflineCondition_,"d imprese partecipate", _xll.EPMOlapMemberO("[CONTO].[PARENTH2].[RGSP113]","","d imprese partecipate","","000"))</f>
        <v>d imprese partecipate</v>
      </c>
      <c r="F161" s="11">
        <v>2849717.41</v>
      </c>
      <c r="G161" s="12">
        <v>4042495.8</v>
      </c>
      <c r="H161" s="78" t="s">
        <v>126</v>
      </c>
      <c r="I161" s="78" t="s">
        <v>124</v>
      </c>
    </row>
    <row r="162" spans="4:9" x14ac:dyDescent="0.25">
      <c r="D162" s="86" t="str">
        <f>IF(_epmOfflineCondition_,"C_TOTALC", _xll.EPMOlapMemberO("[AUDITTRAIL].[PARENTH1].[C_TOTALC]","","C_TOTALC","","000"))</f>
        <v>C_TOTALC</v>
      </c>
      <c r="E162" s="87" t="str">
        <f>IF(_epmOfflineCondition_,"e altri soggetti", _xll.EPMOlapMemberO("[CONTO].[PARENTH2].[RGSP114]","","e altri soggetti","","000"))</f>
        <v>e altri soggetti</v>
      </c>
      <c r="F162" s="11">
        <v>321864851.94</v>
      </c>
      <c r="G162" s="12">
        <v>372960933.67000002</v>
      </c>
      <c r="H162" s="78"/>
      <c r="I162" s="78"/>
    </row>
    <row r="163" spans="4:9" x14ac:dyDescent="0.25">
      <c r="D163" s="77" t="str">
        <f>IF(_epmOfflineCondition_,"C_TOTALC", _xll.EPMOlapMemberO("[AUDITTRAIL].[PARENTH1].[C_TOTALC]","","C_TOTALC","","000"))</f>
        <v>C_TOTALC</v>
      </c>
      <c r="E163" s="59" t="str">
        <f>IF(_epmOfflineCondition_,"5 Altri debiti", _xll.EPMOlapMemberO("[CONTO].[PARENTH2].[RGSP115]","","5 Altri debiti","","000"))</f>
        <v>5 Altri debiti</v>
      </c>
      <c r="F163" s="6">
        <v>701488618.21000004</v>
      </c>
      <c r="G163" s="12">
        <v>773654626.15999997</v>
      </c>
      <c r="H163" s="78" t="s">
        <v>127</v>
      </c>
      <c r="I163" s="78" t="s">
        <v>128</v>
      </c>
    </row>
    <row r="164" spans="4:9" x14ac:dyDescent="0.25">
      <c r="D164" s="86" t="str">
        <f>IF(_epmOfflineCondition_,"C_TOTALC", _xll.EPMOlapMemberO("[AUDITTRAIL].[PARENTH1].[C_TOTALC]","","C_TOTALC","","000"))</f>
        <v>C_TOTALC</v>
      </c>
      <c r="E164" s="87" t="str">
        <f>IF(_epmOfflineCondition_,"a tributari", _xll.EPMOlapMemberO("[CONTO].[PARENTH2].[RGSP109]","","a tributari","","000"))</f>
        <v>a tributari</v>
      </c>
      <c r="F164" s="11">
        <v>51834141.549999997</v>
      </c>
      <c r="G164" s="12">
        <v>42568343.140000001</v>
      </c>
      <c r="H164" s="78"/>
      <c r="I164" s="78"/>
    </row>
    <row r="165" spans="4:9" x14ac:dyDescent="0.25">
      <c r="D165" s="86" t="str">
        <f>IF(_epmOfflineCondition_,"C_TOTALC", _xll.EPMOlapMemberO("[AUDITTRAIL].[PARENTH1].[C_TOTALC]","","C_TOTALC","","000"))</f>
        <v>C_TOTALC</v>
      </c>
      <c r="E165" s="87" t="str">
        <f>IF(_epmOfflineCondition_,"b verso istituti di previdenza e sicur soc", _xll.EPMOlapMemberO("[CONTO].[PARENTH2].[RGSP116]","","b verso istituti di previdenza e sicur soc","","000"))</f>
        <v>b verso istituti di previdenza e sicur soc</v>
      </c>
      <c r="F165" s="11">
        <v>30477659.620000001</v>
      </c>
      <c r="G165" s="12">
        <v>26855464.969999999</v>
      </c>
      <c r="H165" s="78"/>
      <c r="I165" s="78"/>
    </row>
    <row r="166" spans="4:9" x14ac:dyDescent="0.25">
      <c r="D166" s="86" t="str">
        <f>IF(_epmOfflineCondition_,"C_TOTALC", _xll.EPMOlapMemberO("[AUDITTRAIL].[PARENTH1].[C_TOTALC]","","C_TOTALC","","000"))</f>
        <v>C_TOTALC</v>
      </c>
      <c r="E166" s="87" t="str">
        <f>IF(_epmOfflineCondition_,"c per attività svolta per c/terzi", _xll.EPMOlapMemberO("[CONTO].[PARENTH2].[RGSP117]","","c per attività svolta per c/terzi","","000"))</f>
        <v>c per attività svolta per c/terzi</v>
      </c>
      <c r="F166" s="11">
        <v>245</v>
      </c>
      <c r="G166" s="12">
        <v>245</v>
      </c>
      <c r="H166" s="78"/>
      <c r="I166" s="78"/>
    </row>
    <row r="167" spans="4:9" x14ac:dyDescent="0.25">
      <c r="D167" s="86" t="str">
        <f>IF(_epmOfflineCondition_,"C_TOTALC", _xll.EPMOlapMemberO("[AUDITTRAIL].[PARENTH1].[C_TOTALC]","","C_TOTALC","","000"))</f>
        <v>C_TOTALC</v>
      </c>
      <c r="E167" s="87" t="str">
        <f>IF(_epmOfflineCondition_,"d altri", _xll.EPMOlapMemberO("[CONTO].[PARENTH2].[RGSP118]","","d altri","","000"))</f>
        <v>d altri</v>
      </c>
      <c r="F167" s="11">
        <v>619176572.03999996</v>
      </c>
      <c r="G167" s="12">
        <v>704230573.04999995</v>
      </c>
      <c r="H167" s="78"/>
      <c r="I167" s="78"/>
    </row>
    <row r="168" spans="4:9" x14ac:dyDescent="0.25">
      <c r="D168" s="71" t="str">
        <f>IF(_epmOfflineCondition_,"C_TOTALC", _xll.EPMOlapMemberO("[AUDITTRAIL].[PARENTH1].[C_TOTALC]","","C_TOTALC","","000"))</f>
        <v>C_TOTALC</v>
      </c>
      <c r="E168" s="49" t="str">
        <f>IF(_epmOfflineCondition_,"TOTALE DEBITI (D)", _xll.EPMOlapMemberO("[CONTO].[PARENTH2].[RGSP88]","","TOTALE DEBITI (D)","","000"))</f>
        <v>TOTALE DEBITI (D)</v>
      </c>
      <c r="F168" s="4">
        <v>15369208195.370001</v>
      </c>
      <c r="G168" s="16">
        <v>15511785588.07</v>
      </c>
      <c r="H168" s="70"/>
      <c r="I168" s="70"/>
    </row>
    <row r="169" spans="4:9" x14ac:dyDescent="0.25">
      <c r="D169" s="72"/>
      <c r="E169" s="50"/>
      <c r="F169" s="7"/>
      <c r="G169" s="17"/>
      <c r="H169" s="74"/>
      <c r="I169" s="74"/>
    </row>
    <row r="170" spans="4:9" x14ac:dyDescent="0.25">
      <c r="D170" s="72"/>
      <c r="E170" s="40" t="s">
        <v>70</v>
      </c>
      <c r="F170" s="4"/>
      <c r="G170" s="16"/>
      <c r="H170" s="70" t="s">
        <v>129</v>
      </c>
      <c r="I170" s="70" t="s">
        <v>129</v>
      </c>
    </row>
    <row r="171" spans="4:9" x14ac:dyDescent="0.25">
      <c r="D171" s="77" t="str">
        <f>IF(_epmOfflineCondition_,"C_TOTALC", _xll.EPMOlapMemberO("[AUDITTRAIL].[PARENTH1].[C_TOTALC]","","C_TOTALC","","000"))</f>
        <v>C_TOTALC</v>
      </c>
      <c r="E171" s="59" t="str">
        <f>IF(_epmOfflineCondition_,"I Ratei passivi", _xll.EPMOlapMemberO("[CONTO].[PARENTH2].[RGSP119]","","I Ratei passivi","","000"))</f>
        <v>I Ratei passivi</v>
      </c>
      <c r="F171" s="6">
        <v>55662018.859999999</v>
      </c>
      <c r="G171" s="12">
        <v>46704693.780000001</v>
      </c>
      <c r="H171" s="78"/>
      <c r="I171" s="78"/>
    </row>
    <row r="172" spans="4:9" x14ac:dyDescent="0.25">
      <c r="D172" s="77" t="str">
        <f>IF(_epmOfflineCondition_,"C_TOTALC", _xll.EPMOlapMemberO("[AUDITTRAIL].[PARENTH1].[C_TOTALC]","","C_TOTALC","","000"))</f>
        <v>C_TOTALC</v>
      </c>
      <c r="E172" s="59" t="str">
        <f>IF(_epmOfflineCondition_,"II Risconti passivi", _xll.EPMOlapMemberO("[CONTO].[PARENTH2].[RGSP120]","","II Risconti passivi","","000"))</f>
        <v>II Risconti passivi</v>
      </c>
      <c r="F172" s="6">
        <v>2445592272.6900001</v>
      </c>
      <c r="G172" s="12">
        <v>2633387660.5100002</v>
      </c>
      <c r="H172" s="78"/>
      <c r="I172" s="78"/>
    </row>
    <row r="173" spans="4:9" x14ac:dyDescent="0.25">
      <c r="D173" s="86" t="str">
        <f>IF(_epmOfflineCondition_,"C_TOTALC", _xll.EPMOlapMemberO("[AUDITTRAIL].[PARENTH1].[C_TOTALC]","","C_TOTALC","","000"))</f>
        <v>C_TOTALC</v>
      </c>
      <c r="E173" s="87" t="str">
        <f>IF(_epmOfflineCondition_,"1 Contributi agli investimenti", _xll.EPMOlapMemberO("[CONTO].[PARENTH2].[RGSP121]","","1 Contributi agli investimenti","","000"))</f>
        <v>1 Contributi agli investimenti</v>
      </c>
      <c r="F173" s="11">
        <v>60124952</v>
      </c>
      <c r="G173" s="12">
        <v>75498577</v>
      </c>
      <c r="H173" s="78"/>
      <c r="I173" s="78"/>
    </row>
    <row r="174" spans="4:9" x14ac:dyDescent="0.25">
      <c r="D174" s="86" t="str">
        <f>IF(_epmOfflineCondition_,"C_TOTALC", _xll.EPMOlapMemberO("[AUDITTRAIL].[PARENTH1].[C_TOTALC]","","C_TOTALC","","000"))</f>
        <v>C_TOTALC</v>
      </c>
      <c r="E174" s="87" t="str">
        <f>IF(_epmOfflineCondition_,"2 Concessioni pluriennali", _xll.EPMOlapMemberO("[CONTO].[PARENTH2].[RGSP122]","","2 Concessioni pluriennali","","000"))</f>
        <v>2 Concessioni pluriennali</v>
      </c>
      <c r="F174" s="11"/>
      <c r="G174" s="12"/>
      <c r="H174" s="78"/>
      <c r="I174" s="78"/>
    </row>
    <row r="175" spans="4:9" x14ac:dyDescent="0.25">
      <c r="D175" s="86" t="str">
        <f>IF(_epmOfflineCondition_,"C_TOTALC", _xll.EPMOlapMemberO("[AUDITTRAIL].[PARENTH1].[C_TOTALC]","","C_TOTALC","","000"))</f>
        <v>C_TOTALC</v>
      </c>
      <c r="E175" s="87" t="str">
        <f>IF(_epmOfflineCondition_,"3 Altri risconti passivi", _xll.EPMOlapMemberO("[CONTO].[PARENTH2].[RGSP123]","","3 Altri risconti passivi","","000"))</f>
        <v>3 Altri risconti passivi</v>
      </c>
      <c r="F175" s="11">
        <v>2385467320.6900001</v>
      </c>
      <c r="G175" s="12">
        <v>2557889083.5100002</v>
      </c>
      <c r="H175" s="78"/>
      <c r="I175" s="78"/>
    </row>
    <row r="176" spans="4:9" x14ac:dyDescent="0.25">
      <c r="D176" s="71" t="str">
        <f>IF(_epmOfflineCondition_,"C_TOTALC", _xll.EPMOlapMemberO("[AUDITTRAIL].[PARENTH1].[C_TOTALC]","","C_TOTALC","","000"))</f>
        <v>C_TOTALC</v>
      </c>
      <c r="E176" s="49" t="str">
        <f>IF(_epmOfflineCondition_,"TOTALE RATEI E RISCONTI (E)", _xll.EPMOlapMemberO("[CONTO].[PARENTH2].[RGSP89]","","TOTALE RATEI E RISCONTI (E)","","000"))</f>
        <v>TOTALE RATEI E RISCONTI (E)</v>
      </c>
      <c r="F176" s="4">
        <v>2501254291.5500002</v>
      </c>
      <c r="G176" s="16">
        <v>2680092354.29</v>
      </c>
      <c r="H176" s="70"/>
      <c r="I176" s="70"/>
    </row>
    <row r="177" spans="4:11" x14ac:dyDescent="0.25">
      <c r="D177" s="89"/>
      <c r="E177" s="57"/>
      <c r="F177" s="27"/>
      <c r="G177" s="28"/>
      <c r="H177" s="97"/>
      <c r="I177" s="97"/>
    </row>
    <row r="178" spans="4:11" x14ac:dyDescent="0.25">
      <c r="D178" s="89" t="str">
        <f>IF(_epmOfflineCondition_,"C_TOTALC", _xll.EPMOlapMemberO("[AUDITTRAIL].[PARENTH1].[C_TOTALC]","","C_TOTALC","","000"))</f>
        <v>C_TOTALC</v>
      </c>
      <c r="E178" s="57" t="str">
        <f>IF(_epmOfflineCondition_,"TOTALE DEL PASSIVO (A+B+C+D+E)", _xll.EPMOlapMemberO("[CONTO].[PARENTH2].[RGSP7]","","TOTALE DEL PASSIVO (A+B+C+D+E)","","000"))</f>
        <v>TOTALE DEL PASSIVO (A+B+C+D+E)</v>
      </c>
      <c r="F178" s="2">
        <v>17486380042.662727</v>
      </c>
      <c r="G178" s="2">
        <v>16069712703.75</v>
      </c>
      <c r="H178" s="67"/>
      <c r="I178" s="67"/>
      <c r="J178" s="98">
        <f>+F110-F178</f>
        <v>0</v>
      </c>
      <c r="K178" s="98">
        <f>+G110-G178</f>
        <v>0</v>
      </c>
    </row>
    <row r="179" spans="4:11" x14ac:dyDescent="0.25">
      <c r="E179"/>
      <c r="F179" s="29"/>
      <c r="G179" s="29"/>
    </row>
    <row r="180" spans="4:11" x14ac:dyDescent="0.25">
      <c r="D180" t="str">
        <f>IF(_epmOfflineCondition_,"C_ORDINE", _xll.EPMOlapMemberO("[AUDITTRAIL].[PARENTH1].[C_ORDINE]","","C_ORDINE","","000"))</f>
        <v>C_ORDINE</v>
      </c>
      <c r="E180" s="99" t="str">
        <f>IF(_epmOfflineCondition_,"1) Impegni su esercizi futuri", _xll.EPMOlapMemberO("[CONTO].[PARENTH2].[RGSP126]","","1) Impegni su esercizi futuri","","000"))</f>
        <v>1) Impegni su esercizi futuri</v>
      </c>
      <c r="F180" s="11"/>
      <c r="G180" s="12"/>
      <c r="H180" s="78"/>
      <c r="I180" s="78"/>
    </row>
    <row r="181" spans="4:11" x14ac:dyDescent="0.25">
      <c r="D181" t="str">
        <f>IF(_epmOfflineCondition_,"C_ORDINE", _xll.EPMOlapMemberO("[AUDITTRAIL].[PARENTH1].[C_ORDINE]","","C_ORDINE","","000"))</f>
        <v>C_ORDINE</v>
      </c>
      <c r="E181" s="87" t="str">
        <f>IF(_epmOfflineCondition_,"2) beni di terzi in uso", _xll.EPMOlapMemberO("[CONTO].[PARENTH2].[RGSP127]","","2) beni di terzi in uso","","000"))</f>
        <v>2) beni di terzi in uso</v>
      </c>
      <c r="F181" s="11"/>
      <c r="G181" s="12"/>
      <c r="H181" s="78"/>
      <c r="I181" s="78"/>
    </row>
    <row r="182" spans="4:11" x14ac:dyDescent="0.25">
      <c r="D182" t="str">
        <f>IF(_epmOfflineCondition_,"C_ORDINE", _xll.EPMOlapMemberO("[AUDITTRAIL].[PARENTH1].[C_ORDINE]","","C_ORDINE","","000"))</f>
        <v>C_ORDINE</v>
      </c>
      <c r="E182" s="87" t="str">
        <f>IF(_epmOfflineCondition_,"3) beni dati in uso a terzi", _xll.EPMOlapMemberO("[CONTO].[PARENTH2].[RGSP128]","","3) beni dati in uso a terzi","","000"))</f>
        <v>3) beni dati in uso a terzi</v>
      </c>
      <c r="F182" s="11"/>
      <c r="G182" s="12"/>
      <c r="H182" s="78"/>
      <c r="I182" s="78"/>
    </row>
    <row r="183" spans="4:11" x14ac:dyDescent="0.25">
      <c r="D183" t="str">
        <f>IF(_epmOfflineCondition_,"C_ORDINE", _xll.EPMOlapMemberO("[AUDITTRAIL].[PARENTH1].[C_ORDINE]","","C_ORDINE","","000"))</f>
        <v>C_ORDINE</v>
      </c>
      <c r="E183" s="87" t="str">
        <f>IF(_epmOfflineCondition_,"4) garanzie prestate a amministrazioni pubbli", _xll.EPMOlapMemberO("[CONTO].[PARENTH2].[RGSP129]","","4) garanzie prestate a amministrazioni pubbli","","000"))</f>
        <v>4) garanzie prestate a amministrazioni pubbli</v>
      </c>
      <c r="F183" s="11"/>
      <c r="G183" s="12"/>
      <c r="H183" s="78"/>
      <c r="I183" s="78"/>
    </row>
    <row r="184" spans="4:11" x14ac:dyDescent="0.25">
      <c r="D184" t="str">
        <f>IF(_epmOfflineCondition_,"C_ORDINE", _xll.EPMOlapMemberO("[AUDITTRAIL].[PARENTH1].[C_ORDINE]","","C_ORDINE","","000"))</f>
        <v>C_ORDINE</v>
      </c>
      <c r="E184" s="87" t="str">
        <f>IF(_epmOfflineCondition_,"5) garanzie prestate a imprese controllate", _xll.EPMOlapMemberO("[CONTO].[PARENTH2].[RGSP130]","","5) garanzie prestate a imprese controllate","","000"))</f>
        <v>5) garanzie prestate a imprese controllate</v>
      </c>
      <c r="F184" s="11"/>
      <c r="G184" s="12"/>
      <c r="H184" s="78"/>
      <c r="I184" s="78"/>
    </row>
    <row r="185" spans="4:11" x14ac:dyDescent="0.25">
      <c r="D185" t="str">
        <f>IF(_epmOfflineCondition_,"C_ORDINE", _xll.EPMOlapMemberO("[AUDITTRAIL].[PARENTH1].[C_ORDINE]","","C_ORDINE","","000"))</f>
        <v>C_ORDINE</v>
      </c>
      <c r="E185" s="87" t="str">
        <f>IF(_epmOfflineCondition_,"6) garanzie prestate a imprese partecipate", _xll.EPMOlapMemberO("[CONTO].[PARENTH2].[RGSP131]","","6) garanzie prestate a imprese partecipate","","000"))</f>
        <v>6) garanzie prestate a imprese partecipate</v>
      </c>
      <c r="F185" s="11"/>
      <c r="G185" s="12"/>
      <c r="H185" s="78"/>
      <c r="I185" s="78"/>
    </row>
    <row r="186" spans="4:11" x14ac:dyDescent="0.25">
      <c r="D186" t="str">
        <f>IF(_epmOfflineCondition_,"C_ORDINE", _xll.EPMOlapMemberO("[AUDITTRAIL].[PARENTH1].[C_ORDINE]","","C_ORDINE","","000"))</f>
        <v>C_ORDINE</v>
      </c>
      <c r="E186" s="87" t="str">
        <f>IF(_epmOfflineCondition_,"7) garanzie prestate a altre imprese", _xll.EPMOlapMemberO("[CONTO].[PARENTH2].[RGSP132]","","7) garanzie prestate a altre imprese","","000"))</f>
        <v>7) garanzie prestate a altre imprese</v>
      </c>
      <c r="F186" s="11"/>
      <c r="G186" s="12"/>
      <c r="H186" s="78"/>
      <c r="I186" s="78"/>
    </row>
    <row r="187" spans="4:11" x14ac:dyDescent="0.25">
      <c r="D187" t="str">
        <f>IF(_epmOfflineCondition_,"C_ORDINE", _xll.EPMOlapMemberO("[AUDITTRAIL].[PARENTH1].[C_ORDINE]","","C_ORDINE","","000"))</f>
        <v>C_ORDINE</v>
      </c>
      <c r="E187" s="57" t="str">
        <f>IF(_epmOfflineCondition_,"TOTALE CONTI D'ORDINE", _xll.EPMOlapMemberO("[CONTO].[PARENTH2].[RGSP91]","","TOTALE CONTI D'ORDINE","","000"))</f>
        <v>TOTALE CONTI D'ORDINE</v>
      </c>
      <c r="F187" s="2"/>
      <c r="G187" s="2"/>
      <c r="H187" s="67"/>
      <c r="I187" s="67"/>
    </row>
  </sheetData>
  <pageMargins left="0.23622047244094491" right="0.23622047244094491" top="0.74803149606299213" bottom="0.55118110236220474" header="0.31496062992125984" footer="0.31496062992125984"/>
  <pageSetup paperSize="9" scale="51" fitToHeight="2" orientation="portrait" r:id="rId1"/>
  <customProperties>
    <customPr name="EpmWorksheetKeyString_GUID" r:id="rId2"/>
    <customPr name="FPMExcelClientCellBasedFunctionStatus" r:id="rId3"/>
    <customPr name="FPMExcelClientRefreshTime" r:id="rId4"/>
  </customProperties>
  <drawing r:id="rId5"/>
  <legacyDrawing r:id="rId6"/>
  <controls>
    <mc:AlternateContent xmlns:mc="http://schemas.openxmlformats.org/markup-compatibility/2006">
      <mc:Choice Requires="x14">
        <control shapeId="3076" r:id="rId7" name="AnalyzerDynReport000tb1">
          <controlPr defaultSize="0" autoLine="0" autoPict="0" r:id="rId8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0</xdr:rowOff>
              </to>
            </anchor>
          </controlPr>
        </control>
      </mc:Choice>
      <mc:Fallback>
        <control shapeId="3076" r:id="rId7" name="AnalyzerDynReport000tb1"/>
      </mc:Fallback>
    </mc:AlternateContent>
    <mc:AlternateContent xmlns:mc="http://schemas.openxmlformats.org/markup-compatibility/2006">
      <mc:Choice Requires="x14">
        <control shapeId="3075" r:id="rId9" name="MultipleReportManagerInfotb1">
          <controlPr defaultSize="0" autoLine="0" autoPict="0" r:id="rId10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0</xdr:rowOff>
              </to>
            </anchor>
          </controlPr>
        </control>
      </mc:Choice>
      <mc:Fallback>
        <control shapeId="3075" r:id="rId9" name="MultipleReportManagerInfotb1"/>
      </mc:Fallback>
    </mc:AlternateContent>
    <mc:AlternateContent xmlns:mc="http://schemas.openxmlformats.org/markup-compatibility/2006">
      <mc:Choice Requires="x14">
        <control shapeId="3074" r:id="rId11" name="ConnectionDescriptorsInfotb1">
          <controlPr defaultSize="0" autoLine="0" autoPict="0" r:id="rId12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0</xdr:rowOff>
              </to>
            </anchor>
          </controlPr>
        </control>
      </mc:Choice>
      <mc:Fallback>
        <control shapeId="3074" r:id="rId11" name="ConnectionDescriptorsInfotb1"/>
      </mc:Fallback>
    </mc:AlternateContent>
    <mc:AlternateContent xmlns:mc="http://schemas.openxmlformats.org/markup-compatibility/2006">
      <mc:Choice Requires="x14">
        <control shapeId="3073" r:id="rId13" name="FPMExcelClientSheetOptionstb1">
          <controlPr defaultSize="0" autoLine="0" autoPict="0" r:id="rId1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304800</xdr:colOff>
                <xdr:row>0</xdr:row>
                <xdr:rowOff>0</xdr:rowOff>
              </to>
            </anchor>
          </controlPr>
        </control>
      </mc:Choice>
      <mc:Fallback>
        <control shapeId="3073" r:id="rId13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REPORT_CE</vt:lpstr>
      <vt:lpstr>REPORT_SP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Fabrizia Arcuri</dc:creator>
  <cp:lastModifiedBy>TERESA CARBONCINO</cp:lastModifiedBy>
  <cp:lastPrinted>2025-09-15T08:58:27Z</cp:lastPrinted>
  <dcterms:created xsi:type="dcterms:W3CDTF">2023-06-27T10:44:49Z</dcterms:created>
  <dcterms:modified xsi:type="dcterms:W3CDTF">2025-10-08T08:05:18Z</dcterms:modified>
</cp:coreProperties>
</file>